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2120" windowHeight="8040" activeTab="1"/>
  </bookViews>
  <sheets>
    <sheet name="A1" sheetId="1" r:id="rId1"/>
    <sheet name="A2" sheetId="2" r:id="rId2"/>
  </sheets>
  <definedNames>
    <definedName name="_xlnm.Print_Area" localSheetId="0">'A1'!$A$1:$I$63</definedName>
    <definedName name="_xlnm.Print_Area" localSheetId="1">'A2'!$A$1:$P$52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'A1'!$A$49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<sst xmlns="http://schemas.openxmlformats.org/spreadsheetml/2006/main" count="200" uniqueCount="157">
  <si>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</si>
  <si>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</si>
  <si>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</si>
  <si>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</si>
  <si>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</si>
  <si>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</si>
  <si>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</si>
  <si>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</si>
  <si>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</si>
  <si>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</si>
  <si>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</si>
  <si>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</si>
  <si>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</si>
  <si>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</si>
  <si>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</si>
  <si>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</si>
  <si>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</si>
  <si>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</si>
  <si>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</si>
  <si>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</si>
  <si>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2 - Deve-se incluir quantas linhas forem necessárias.</t>
  </si>
  <si>
    <t>1 - Para obras e serviços de engenharia poderão ser previstas ATÉ 5 (cinco) etapas para execução do cronograma e desembolso.</t>
  </si>
  <si>
    <t>ASSINATURA:</t>
  </si>
  <si>
    <t>TOTAL NO MÊS (ACUMULADO)</t>
  </si>
  <si>
    <t>TOTAL NO MÊS (SIMPLES)</t>
  </si>
  <si>
    <t>%</t>
  </si>
  <si>
    <t>R$</t>
  </si>
  <si>
    <t>Etapa 05</t>
  </si>
  <si>
    <t>Etapa 04</t>
  </si>
  <si>
    <t>Etapa 03</t>
  </si>
  <si>
    <t>Etapa 02</t>
  </si>
  <si>
    <t>Etapa 01</t>
  </si>
  <si>
    <t>TOTAL</t>
  </si>
  <si>
    <t>PERÍODO</t>
  </si>
  <si>
    <t>Periodicidade das Estapas:</t>
  </si>
  <si>
    <t>FOLHA No </t>
  </si>
  <si>
    <t>PLANILHA DE CRONOGRAMA FÍSICO-FINANCEIRO - MODELO</t>
  </si>
  <si>
    <t>PLANILHA   A 2</t>
  </si>
  <si>
    <t>SERVICOS PRELIMINARES</t>
  </si>
  <si>
    <t>PLACA DE OBRA COM DIMENSÕES DE 1,0m X 3,0m COM PINTURA CONFORME ESPECIFICAÇÃO DO PROGRAMA</t>
  </si>
  <si>
    <t>LOCACAO DA OBRA, COM USO DE EQUIPAMENTOS TOPOGRAFICOS, INCLUSIVE TOPOGRAFO  E NIVELADOR</t>
  </si>
  <si>
    <t>PAVIMENTAÇÃO</t>
  </si>
  <si>
    <t>SINALIZAÇÃO</t>
  </si>
  <si>
    <t>M2</t>
  </si>
  <si>
    <t>TON</t>
  </si>
  <si>
    <t>DRENAGEM</t>
  </si>
  <si>
    <t>ESCAVAÇÃO MECANICA DE VALAS, SOLO 1 CAT., COM TRANSPORTE DMT=2KM</t>
  </si>
  <si>
    <t>TUBOS DE CONCRETO: FORNECIMENTO, CARGA, TRANSPORTE, COLOCAÇÃO SOB CAMADA DE BRITA E=10CM E REJUNTE INT. E EXT. PARA DIAMENTRO DE 40cm</t>
  </si>
  <si>
    <t>CAIXAS DE CAPTAÇÃO COMPLETA PARA TUBOS DE DIAMETRO 30CM A 60CM</t>
  </si>
  <si>
    <t>REATERRO EM CAMADAS DE 20CM COM FORNECIMENTO DE MATERIAL COMPACTADO</t>
  </si>
  <si>
    <t>1.0</t>
  </si>
  <si>
    <t>1.1</t>
  </si>
  <si>
    <t>2.0</t>
  </si>
  <si>
    <t>3.0</t>
  </si>
  <si>
    <t>4.0</t>
  </si>
  <si>
    <t>1.2</t>
  </si>
  <si>
    <t>2.1</t>
  </si>
  <si>
    <t>2.3</t>
  </si>
  <si>
    <t>2.4</t>
  </si>
  <si>
    <t>2.5</t>
  </si>
  <si>
    <t>3.2</t>
  </si>
  <si>
    <t>3.3</t>
  </si>
  <si>
    <t>3.4</t>
  </si>
  <si>
    <t>3.5</t>
  </si>
  <si>
    <t>3.6</t>
  </si>
  <si>
    <t>3.7</t>
  </si>
  <si>
    <t>3.8</t>
  </si>
  <si>
    <t>4.1</t>
  </si>
  <si>
    <t>M3</t>
  </si>
  <si>
    <t>M</t>
  </si>
  <si>
    <t>7409/1</t>
  </si>
  <si>
    <t>Comprimento</t>
  </si>
  <si>
    <t>estacas</t>
  </si>
  <si>
    <t>+</t>
  </si>
  <si>
    <t>area</t>
  </si>
  <si>
    <t>Largura</t>
  </si>
  <si>
    <t>M²</t>
  </si>
  <si>
    <t xml:space="preserve">PASSEIOS </t>
  </si>
  <si>
    <t>PASSEIO</t>
  </si>
  <si>
    <t>5.0</t>
  </si>
  <si>
    <t>5.1</t>
  </si>
  <si>
    <t>5.2</t>
  </si>
  <si>
    <t>5.3</t>
  </si>
  <si>
    <t>5.4</t>
  </si>
  <si>
    <t>R$/M2</t>
  </si>
  <si>
    <t>REGULARIZACAO E= +- 20cm E PREPARO DA CANCHA COMPACTADA</t>
  </si>
  <si>
    <t>IMPRIMAÇÃO COM  cm 30 COM TAXA DE 1l/m2 EXEC.E TRANSP.</t>
  </si>
  <si>
    <t>CAMADA DE BRITA GRADUADA (E=10CM) EXEC.E TRANSP.</t>
  </si>
  <si>
    <t>PINTURA DE LIGAÇÃO COM RR-2C COM TAXA DE 0,6 L/M2EXEC.E TRANSP.</t>
  </si>
  <si>
    <t>MEIO FIO DE CONCRETO CONF. PROJETO (25 MPa)COM ASSENTAMENTO</t>
  </si>
  <si>
    <t>PINTUTA DE FAIXA HORIZONTAL COM TINTA RODOVIARIA ACRILICA BRANCA</t>
  </si>
  <si>
    <t>PINTUTA DE FAIXA HORIZONTAL COM TINTA RODOVIARIA ACRILICA AMARELA</t>
  </si>
  <si>
    <t>73724/7781</t>
  </si>
  <si>
    <t>74206/1</t>
  </si>
  <si>
    <t>74223/1</t>
  </si>
  <si>
    <t>DATA :</t>
  </si>
  <si>
    <t>REGULARIZAÇÃO E COMPACTAÇÃO MANUAL DO TERRENO.</t>
  </si>
  <si>
    <t>LASTRO DE BRITA Nº 2, E= 5,0 CM.</t>
  </si>
  <si>
    <t>PISO COM BLOKRET H=6,0CM PRÉ FABRICADO FCK=25MPA, INCLUSIVE COLCHÃO AREIA APLICAÇÃO, COMPACTAÇÃO E TRANSPORTE.</t>
  </si>
  <si>
    <t>PISO PODOTÁTIL DIRECIONAL (0,20 X 0,20)CM - FCK= 20MPA - E= 6,0 CM</t>
  </si>
  <si>
    <t>PISO PODOTÁTIL ALERTA (0,20 X 0,20)CM - FCK= 20MPA - E= 6,0 CM</t>
  </si>
  <si>
    <t>5622.</t>
  </si>
  <si>
    <t>74164/004</t>
  </si>
  <si>
    <t>74147/001</t>
  </si>
  <si>
    <t>73692.</t>
  </si>
  <si>
    <t>Mercado - Lages, SC.</t>
  </si>
  <si>
    <t xml:space="preserve">PLANILHA DE ORÇAMENTO PARA OBRAS E SERVIÇOS DE ENGENHARIA </t>
  </si>
  <si>
    <t>CONCRETO ASFALTICO USINADO A QUENTE CAUQ (E=5CM) INCLUSE COM FORNECIMENTO DE CAP EXECUÇÃO</t>
  </si>
  <si>
    <t>M3XKM</t>
  </si>
  <si>
    <t>TRANSPORTE LOCAL DE MASSA ASFALTICA - PAVIMENTACAO URBANA DMT 20KM</t>
  </si>
  <si>
    <t>SICRO 4 S 06 200 01</t>
  </si>
  <si>
    <t>FORN. E IMPLANTAÇÃO PLACA SINALIZ. SEMI-REFLETIVA 25X50CM</t>
  </si>
  <si>
    <t>5.3.1</t>
  </si>
  <si>
    <t>5.3.2</t>
  </si>
  <si>
    <t>TUBO ACO GALV C/ COSTURA DIN 2440/NBR 5580 CLASSE MEDIA DN 2" (50MM) E=3,65MM - 5,10KG/M COMP= 3M</t>
  </si>
  <si>
    <t>5.4.1</t>
  </si>
  <si>
    <t>5.4.2</t>
  </si>
  <si>
    <t>CONJUNTO DE PLACA DE LOUGRADORO</t>
  </si>
  <si>
    <t xml:space="preserve">PLACA REGULAMENTAÇÃO </t>
  </si>
  <si>
    <t>FORN. E IMPLANTAÇÃO PLACA SINALIZ. SEMI-REFLETIVA DN=60CM</t>
  </si>
  <si>
    <t>TUBO ACO GALV C/ COSTURA DIN 2440/NBR 5580 CLASSE MEDIA DN 2" (50MM) E=3,65MM - 5,10KG/M COMP= 3,5M</t>
  </si>
  <si>
    <t>4.2</t>
  </si>
  <si>
    <t>4.3</t>
  </si>
  <si>
    <t>4.4</t>
  </si>
  <si>
    <t>4.5</t>
  </si>
  <si>
    <t>4.6</t>
  </si>
  <si>
    <t>4.7</t>
  </si>
  <si>
    <t>meio fio</t>
  </si>
  <si>
    <t>EMBASAMENTO DE MATERIAL GRANULAR - RACHAO e=15cm</t>
  </si>
  <si>
    <t>73817/002</t>
  </si>
  <si>
    <t>Dimensões da Via</t>
  </si>
  <si>
    <t xml:space="preserve">faixa de pedestre </t>
  </si>
  <si>
    <t>Quantidade</t>
  </si>
  <si>
    <t>Area Unitaria</t>
  </si>
  <si>
    <t>Area total</t>
  </si>
  <si>
    <t>VIGA DE CONCRETO SIMPLES ACABAMENTO E TRAVAMENTO INTERNO DA CALÇADA. 10x20cm</t>
  </si>
  <si>
    <t>pare</t>
  </si>
  <si>
    <t>embocamentos 8m</t>
  </si>
  <si>
    <t xml:space="preserve">largura </t>
  </si>
  <si>
    <t>total</t>
  </si>
  <si>
    <t>74138/003</t>
  </si>
  <si>
    <t>TRAVAMENTO COM AREIA MEDIA E= 2,0 CM.</t>
  </si>
  <si>
    <t>Data de referência dos custos:DEZ/2013</t>
  </si>
  <si>
    <t>Data de referência dos custos: DEZ/2013</t>
  </si>
  <si>
    <r>
      <t xml:space="preserve">DATA: </t>
    </r>
    <r>
      <rPr>
        <sz val="10"/>
        <color indexed="8"/>
        <rFont val="Arial"/>
        <family val="2"/>
      </rPr>
      <t>     FEVEREIRO/2014</t>
    </r>
  </si>
  <si>
    <t>DATA DO ORÇAMENTO:      FEVEREIRO/2014</t>
  </si>
  <si>
    <t xml:space="preserve">MUNICÍPIO: Otacilio costa </t>
  </si>
  <si>
    <t xml:space="preserve">TUBOS </t>
  </si>
  <si>
    <t>25/2014</t>
  </si>
  <si>
    <t>OTACILIO COSTA</t>
  </si>
  <si>
    <t>NOME E Nº CREA(OU CAU) DO RESPONSÁVEL TÉCNICO:                                                                                                DIEFERSON BRANGER  CREA 096024-8</t>
  </si>
  <si>
    <r>
      <t xml:space="preserve">NOME: </t>
    </r>
    <r>
      <rPr>
        <sz val="10"/>
        <color indexed="8"/>
        <rFont val="Arial"/>
        <family val="2"/>
      </rPr>
      <t>     DIEFERSON BRANGER</t>
    </r>
  </si>
  <si>
    <t>guia alerta</t>
  </si>
  <si>
    <r>
      <t xml:space="preserve">Nº CREA / CAU: </t>
    </r>
    <r>
      <rPr>
        <sz val="10"/>
        <color indexed="8"/>
        <rFont val="Arial"/>
        <family val="2"/>
      </rPr>
      <t>     096024-8</t>
    </r>
  </si>
  <si>
    <t>PAVIMENTACAO  DA RUA HENRIQUE LINS TRECHO ENTRE RUA GELSONIR M. PEREIRA E RUA PEDRO A. C. - COM COMPRIMENTO DE 115,78m</t>
  </si>
  <si>
    <t>Rua: Henrique Lins</t>
  </si>
  <si>
    <t>MUNICÍPIO: Otacílio Costa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</si>
</sst>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[$-416]dddd\,\ d&quot; de &quot;mmmm&quot; de &quot;yyyy"/>
    <numFmt numFmtId="188" formatCode="#,##0.0"/>
    <numFmt numFmtId="189" formatCode="#,##0.000"/>
    <numFmt numFmtId="190" formatCode="_(* #,##0.000_);_(* \(#,##0.000\);_(* &quot;-&quot;??_);_(@_)"/>
    <numFmt numFmtId="191" formatCode="&quot;Ativado&quot;;&quot;Ativado&quot;;&quot;Desativado&quot;"/>
    <numFmt numFmtId="192" formatCode="[$€-2]\ #,##0.00_);[Red]\([$€-2]\ #,##0.00\)"/>
    <numFmt numFmtId="193" formatCode="0.000"/>
    <numFmt numFmtId="194" formatCode="0.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_(* #,##0.0_);_(* \(#,##0.0\);_(* &quot;-&quot;??_);_(@_)"/>
    <numFmt numFmtId="208" formatCode="_(* #,##0_);_(* \(#,##0\);_(* &quot;-&quot;??_);_(@_)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u val="single"/>
      <sz val="7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2" fontId="6" fillId="0" borderId="13" xfId="0" applyNumberFormat="1" applyFont="1" applyBorder="1" applyAlignment="1">
      <alignment horizontal="center" vertical="top"/>
    </xf>
    <xf numFmtId="185" fontId="6" fillId="0" borderId="14" xfId="0" applyNumberFormat="1" applyFont="1" applyBorder="1" applyAlignment="1">
      <alignment horizontal="right" wrapText="1"/>
    </xf>
    <xf numFmtId="0" fontId="1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0" fontId="6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" fillId="0" borderId="1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6" fontId="6" fillId="0" borderId="19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39" fontId="16" fillId="34" borderId="20" xfId="63" applyNumberFormat="1" applyFont="1" applyFill="1" applyBorder="1" applyAlignment="1">
      <alignment horizontal="right" wrapText="1"/>
    </xf>
    <xf numFmtId="39" fontId="16" fillId="34" borderId="20" xfId="0" applyNumberFormat="1" applyFont="1" applyFill="1" applyBorder="1" applyAlignment="1">
      <alignment horizontal="right" vertical="center" wrapText="1"/>
    </xf>
    <xf numFmtId="39" fontId="16" fillId="34" borderId="10" xfId="63" applyNumberFormat="1" applyFont="1" applyFill="1" applyBorder="1" applyAlignment="1">
      <alignment horizontal="right" wrapText="1"/>
    </xf>
    <xf numFmtId="39" fontId="16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top" wrapText="1"/>
    </xf>
    <xf numFmtId="39" fontId="16" fillId="0" borderId="10" xfId="63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34" borderId="14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wrapText="1"/>
    </xf>
    <xf numFmtId="9" fontId="16" fillId="0" borderId="10" xfId="51" applyFont="1" applyBorder="1" applyAlignment="1">
      <alignment horizontal="center" wrapText="1"/>
    </xf>
    <xf numFmtId="9" fontId="16" fillId="34" borderId="10" xfId="51" applyFont="1" applyFill="1" applyBorder="1" applyAlignment="1">
      <alignment horizontal="center" vertical="center" wrapText="1"/>
    </xf>
    <xf numFmtId="9" fontId="16" fillId="34" borderId="20" xfId="51" applyFont="1" applyFill="1" applyBorder="1" applyAlignment="1">
      <alignment horizontal="center" vertical="center" wrapText="1"/>
    </xf>
    <xf numFmtId="9" fontId="16" fillId="34" borderId="14" xfId="51" applyFont="1" applyFill="1" applyBorder="1" applyAlignment="1">
      <alignment horizontal="right" wrapText="1"/>
    </xf>
    <xf numFmtId="9" fontId="16" fillId="34" borderId="23" xfId="51" applyFont="1" applyFill="1" applyBorder="1" applyAlignment="1">
      <alignment horizontal="right" wrapText="1"/>
    </xf>
    <xf numFmtId="9" fontId="18" fillId="0" borderId="10" xfId="51" applyFont="1" applyBorder="1" applyAlignment="1">
      <alignment horizontal="center" wrapText="1"/>
    </xf>
    <xf numFmtId="0" fontId="0" fillId="35" borderId="0" xfId="0" applyFill="1" applyAlignment="1">
      <alignment/>
    </xf>
    <xf numFmtId="171" fontId="0" fillId="35" borderId="10" xfId="62" applyFont="1" applyFill="1" applyBorder="1" applyAlignment="1">
      <alignment/>
    </xf>
    <xf numFmtId="189" fontId="0" fillId="35" borderId="10" xfId="0" applyNumberFormat="1" applyFill="1" applyBorder="1" applyAlignment="1">
      <alignment/>
    </xf>
    <xf numFmtId="0" fontId="6" fillId="0" borderId="10" xfId="62" applyNumberFormat="1" applyFont="1" applyBorder="1" applyAlignment="1">
      <alignment horizontal="center" vertical="top"/>
    </xf>
    <xf numFmtId="185" fontId="6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0" fillId="0" borderId="19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35" borderId="10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wrapText="1"/>
    </xf>
    <xf numFmtId="0" fontId="6" fillId="0" borderId="10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/>
    </xf>
    <xf numFmtId="170" fontId="0" fillId="0" borderId="0" xfId="47" applyFont="1" applyAlignment="1">
      <alignment/>
    </xf>
    <xf numFmtId="195" fontId="0" fillId="0" borderId="0" xfId="0" applyNumberFormat="1" applyAlignment="1">
      <alignment/>
    </xf>
    <xf numFmtId="2" fontId="12" fillId="36" borderId="13" xfId="0" applyNumberFormat="1" applyFont="1" applyFill="1" applyBorder="1" applyAlignment="1">
      <alignment horizontal="center" vertical="top"/>
    </xf>
    <xf numFmtId="0" fontId="15" fillId="36" borderId="0" xfId="0" applyFont="1" applyFill="1" applyAlignment="1">
      <alignment/>
    </xf>
    <xf numFmtId="0" fontId="12" fillId="36" borderId="10" xfId="0" applyFont="1" applyFill="1" applyBorder="1" applyAlignment="1">
      <alignment horizontal="justify" vertical="top" wrapText="1"/>
    </xf>
    <xf numFmtId="0" fontId="12" fillId="36" borderId="10" xfId="0" applyNumberFormat="1" applyFont="1" applyFill="1" applyBorder="1" applyAlignment="1">
      <alignment horizontal="center" wrapText="1"/>
    </xf>
    <xf numFmtId="4" fontId="12" fillId="36" borderId="10" xfId="0" applyNumberFormat="1" applyFont="1" applyFill="1" applyBorder="1" applyAlignment="1">
      <alignment horizontal="right" wrapText="1"/>
    </xf>
    <xf numFmtId="10" fontId="12" fillId="36" borderId="10" xfId="0" applyNumberFormat="1" applyFont="1" applyFill="1" applyBorder="1" applyAlignment="1">
      <alignment horizontal="right" wrapText="1"/>
    </xf>
    <xf numFmtId="186" fontId="12" fillId="36" borderId="19" xfId="0" applyNumberFormat="1" applyFont="1" applyFill="1" applyBorder="1" applyAlignment="1">
      <alignment horizontal="right" wrapText="1"/>
    </xf>
    <xf numFmtId="185" fontId="12" fillId="36" borderId="14" xfId="0" applyNumberFormat="1" applyFont="1" applyFill="1" applyBorder="1" applyAlignment="1">
      <alignment horizontal="right" wrapText="1"/>
    </xf>
    <xf numFmtId="0" fontId="12" fillId="36" borderId="10" xfId="0" applyNumberFormat="1" applyFont="1" applyFill="1" applyBorder="1" applyAlignment="1">
      <alignment horizontal="center" vertical="top"/>
    </xf>
    <xf numFmtId="10" fontId="6" fillId="33" borderId="10" xfId="0" applyNumberFormat="1" applyFont="1" applyFill="1" applyBorder="1" applyAlignment="1">
      <alignment horizontal="right" wrapText="1"/>
    </xf>
    <xf numFmtId="186" fontId="6" fillId="33" borderId="19" xfId="0" applyNumberFormat="1" applyFont="1" applyFill="1" applyBorder="1" applyAlignment="1">
      <alignment horizontal="right" wrapText="1"/>
    </xf>
    <xf numFmtId="2" fontId="12" fillId="36" borderId="10" xfId="0" applyNumberFormat="1" applyFont="1" applyFill="1" applyBorder="1" applyAlignment="1">
      <alignment horizontal="center" vertical="top"/>
    </xf>
    <xf numFmtId="0" fontId="12" fillId="36" borderId="10" xfId="0" applyFont="1" applyFill="1" applyBorder="1" applyAlignment="1">
      <alignment horizontal="center" vertical="top" wrapText="1"/>
    </xf>
    <xf numFmtId="0" fontId="6" fillId="36" borderId="10" xfId="0" applyNumberFormat="1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right" wrapText="1"/>
    </xf>
    <xf numFmtId="10" fontId="6" fillId="36" borderId="10" xfId="0" applyNumberFormat="1" applyFont="1" applyFill="1" applyBorder="1" applyAlignment="1">
      <alignment horizontal="right" wrapText="1"/>
    </xf>
    <xf numFmtId="186" fontId="6" fillId="36" borderId="19" xfId="0" applyNumberFormat="1" applyFont="1" applyFill="1" applyBorder="1" applyAlignment="1">
      <alignment horizontal="right" wrapText="1"/>
    </xf>
    <xf numFmtId="185" fontId="6" fillId="36" borderId="14" xfId="0" applyNumberFormat="1" applyFont="1" applyFill="1" applyBorder="1" applyAlignment="1">
      <alignment horizontal="right" wrapText="1"/>
    </xf>
    <xf numFmtId="185" fontId="12" fillId="37" borderId="26" xfId="0" applyNumberFormat="1" applyFont="1" applyFill="1" applyBorder="1" applyAlignment="1">
      <alignment horizontal="right" wrapText="1"/>
    </xf>
    <xf numFmtId="171" fontId="0" fillId="0" borderId="10" xfId="62" applyFont="1" applyBorder="1" applyAlignment="1">
      <alignment/>
    </xf>
    <xf numFmtId="0" fontId="0" fillId="35" borderId="24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6" fillId="0" borderId="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194" fontId="0" fillId="0" borderId="10" xfId="0" applyNumberForma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0" fillId="34" borderId="31" xfId="0" applyFont="1" applyFill="1" applyBorder="1" applyAlignment="1">
      <alignment horizontal="right" vertical="top" wrapText="1"/>
    </xf>
    <xf numFmtId="0" fontId="10" fillId="34" borderId="32" xfId="0" applyFont="1" applyFill="1" applyBorder="1" applyAlignment="1">
      <alignment horizontal="right" vertical="top" wrapText="1"/>
    </xf>
    <xf numFmtId="0" fontId="10" fillId="34" borderId="33" xfId="0" applyFont="1" applyFill="1" applyBorder="1" applyAlignment="1">
      <alignment horizontal="right" vertical="top" wrapText="1"/>
    </xf>
    <xf numFmtId="0" fontId="10" fillId="0" borderId="34" xfId="0" applyFont="1" applyBorder="1" applyAlignment="1">
      <alignment horizontal="justify" vertical="top" wrapText="1"/>
    </xf>
    <xf numFmtId="0" fontId="0" fillId="0" borderId="35" xfId="0" applyFont="1" applyBorder="1" applyAlignment="1">
      <alignment horizontal="justify" vertical="top" wrapText="1"/>
    </xf>
    <xf numFmtId="0" fontId="0" fillId="0" borderId="36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3" fillId="0" borderId="0" xfId="0" applyFont="1" applyAlignment="1">
      <alignment horizontal="left" wrapText="1"/>
    </xf>
    <xf numFmtId="0" fontId="1" fillId="0" borderId="3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9" fontId="17" fillId="0" borderId="28" xfId="0" applyNumberFormat="1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20" fillId="0" borderId="52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8" fillId="0" borderId="0" xfId="44" applyAlignment="1" applyProtection="1">
      <alignment horizontal="center"/>
      <protection/>
    </xf>
    <xf numFmtId="0" fontId="2" fillId="34" borderId="13" xfId="0" applyFont="1" applyFill="1" applyBorder="1" applyAlignment="1">
      <alignment horizontal="center" vertical="top" wrapText="1"/>
    </xf>
    <xf numFmtId="0" fontId="2" fillId="34" borderId="53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0" fillId="0" borderId="5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7" fillId="0" borderId="52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showGridLines="0" view="pageBreakPreview" zoomScale="70" zoomScaleNormal="90" zoomScaleSheetLayoutView="70" zoomScalePageLayoutView="0" workbookViewId="0" topLeftCell="A16">
      <selection activeCell="B7" sqref="B7:I7"/>
    </sheetView>
  </sheetViews>
  <sheetFormatPr defaultColWidth="9.140625" defaultRowHeight="12.75"/>
  <cols>
    <col min="1" max="1" width="16.7109375" style="0" customWidth="1"/>
    <col min="2" max="2" width="20.28125" style="0" customWidth="1"/>
    <col min="3" max="3" width="81.00390625" style="0" bestFit="1" customWidth="1"/>
    <col min="4" max="4" width="9.28125" style="0" customWidth="1"/>
    <col min="5" max="6" width="10.57421875" style="0" customWidth="1"/>
    <col min="7" max="7" width="11.28125" style="0" customWidth="1"/>
    <col min="8" max="8" width="15.28125" style="0" customWidth="1"/>
    <col min="9" max="9" width="16.8515625" style="0" customWidth="1"/>
    <col min="11" max="11" width="14.140625" style="0" bestFit="1" customWidth="1"/>
    <col min="12" max="12" width="20.7109375" style="0" bestFit="1" customWidth="1"/>
    <col min="13" max="13" width="13.140625" style="0" bestFit="1" customWidth="1"/>
    <col min="14" max="14" width="2.140625" style="0" bestFit="1" customWidth="1"/>
    <col min="15" max="15" width="13.00390625" style="0" customWidth="1"/>
    <col min="17" max="17" width="10.00390625" style="0" bestFit="1" customWidth="1"/>
    <col min="19" max="19" width="12.57421875" style="0" bestFit="1" customWidth="1"/>
    <col min="20" max="20" width="11.7109375" style="0" bestFit="1" customWidth="1"/>
  </cols>
  <sheetData>
    <row r="1" spans="1:9" ht="36" customHeight="1">
      <c r="A1" s="144"/>
      <c r="B1" s="145"/>
      <c r="C1" s="145"/>
      <c r="D1" s="145"/>
      <c r="E1" s="145"/>
      <c r="F1" s="145"/>
      <c r="G1" s="146"/>
      <c r="H1" s="25"/>
      <c r="I1" s="166" t="s">
        <v>8</v>
      </c>
    </row>
    <row r="2" spans="1:15" ht="36" customHeight="1">
      <c r="A2" s="141" t="s">
        <v>106</v>
      </c>
      <c r="B2" s="142"/>
      <c r="C2" s="142"/>
      <c r="D2" s="142"/>
      <c r="E2" s="142"/>
      <c r="F2" s="142"/>
      <c r="G2" s="143"/>
      <c r="H2" s="26"/>
      <c r="I2" s="167"/>
      <c r="L2" s="51" t="s">
        <v>72</v>
      </c>
      <c r="M2" s="52">
        <v>5</v>
      </c>
      <c r="N2" s="51" t="s">
        <v>73</v>
      </c>
      <c r="O2" s="53">
        <v>15.782</v>
      </c>
    </row>
    <row r="3" spans="1:15" ht="13.5" customHeight="1">
      <c r="A3" s="128" t="s">
        <v>146</v>
      </c>
      <c r="B3" s="129"/>
      <c r="C3" s="129"/>
      <c r="D3" s="129"/>
      <c r="E3" s="129"/>
      <c r="F3" s="129"/>
      <c r="G3" s="130"/>
      <c r="H3" s="20"/>
      <c r="I3" s="8" t="s">
        <v>0</v>
      </c>
      <c r="L3" s="51"/>
      <c r="M3" s="51"/>
      <c r="N3" s="51"/>
      <c r="O3" s="51"/>
    </row>
    <row r="4" spans="1:21" ht="12.75" customHeight="1">
      <c r="A4" s="131"/>
      <c r="B4" s="132"/>
      <c r="C4" s="132"/>
      <c r="D4" s="132"/>
      <c r="E4" s="132"/>
      <c r="F4" s="132"/>
      <c r="G4" s="133"/>
      <c r="H4" s="21"/>
      <c r="I4" s="9"/>
      <c r="L4" s="109" t="s">
        <v>130</v>
      </c>
      <c r="M4" s="110"/>
      <c r="N4" s="110"/>
      <c r="O4" s="111"/>
      <c r="S4" s="165" t="s">
        <v>131</v>
      </c>
      <c r="T4" s="165"/>
      <c r="U4" s="165"/>
    </row>
    <row r="5" spans="1:21" ht="14.25" customHeight="1">
      <c r="A5" s="161" t="s">
        <v>6</v>
      </c>
      <c r="B5" s="170" t="s">
        <v>154</v>
      </c>
      <c r="C5" s="171"/>
      <c r="D5" s="171"/>
      <c r="E5" s="171"/>
      <c r="F5" s="171"/>
      <c r="G5" s="172"/>
      <c r="H5" s="19"/>
      <c r="I5" s="8" t="s">
        <v>14</v>
      </c>
      <c r="L5" s="95" t="s">
        <v>75</v>
      </c>
      <c r="M5" s="96" t="s">
        <v>71</v>
      </c>
      <c r="N5" s="96"/>
      <c r="O5" s="97" t="s">
        <v>74</v>
      </c>
      <c r="Q5" s="62" t="s">
        <v>78</v>
      </c>
      <c r="S5" s="64" t="s">
        <v>132</v>
      </c>
      <c r="T5" s="64" t="s">
        <v>133</v>
      </c>
      <c r="U5" s="64" t="s">
        <v>134</v>
      </c>
    </row>
    <row r="6" spans="1:21" ht="14.25">
      <c r="A6" s="162"/>
      <c r="B6" s="173"/>
      <c r="C6" s="174"/>
      <c r="D6" s="174"/>
      <c r="E6" s="174"/>
      <c r="F6" s="174"/>
      <c r="G6" s="175"/>
      <c r="H6" s="27"/>
      <c r="I6" s="67" t="s">
        <v>148</v>
      </c>
      <c r="L6" s="52">
        <v>5</v>
      </c>
      <c r="M6" s="52">
        <f>(M2*20)+O2</f>
        <v>115.782</v>
      </c>
      <c r="N6" s="98"/>
      <c r="O6" s="52">
        <f>(M6*L6)+(T20)</f>
        <v>578.91</v>
      </c>
      <c r="Q6" s="63">
        <f>M6*2.4</f>
        <v>277.8768</v>
      </c>
      <c r="S6" s="64">
        <v>16</v>
      </c>
      <c r="T6" s="64">
        <f>4*0.4</f>
        <v>1.6</v>
      </c>
      <c r="U6" s="64">
        <f>T6*S6</f>
        <v>25.6</v>
      </c>
    </row>
    <row r="7" spans="1:19" ht="15.75" customHeight="1">
      <c r="A7" s="10" t="s">
        <v>9</v>
      </c>
      <c r="B7" s="138" t="s">
        <v>155</v>
      </c>
      <c r="C7" s="139"/>
      <c r="D7" s="139"/>
      <c r="E7" s="139"/>
      <c r="F7" s="139"/>
      <c r="G7" s="139"/>
      <c r="H7" s="139"/>
      <c r="I7" s="140"/>
      <c r="L7" s="99"/>
      <c r="M7" s="100"/>
      <c r="N7" s="100"/>
      <c r="O7" s="101"/>
      <c r="S7" t="s">
        <v>136</v>
      </c>
    </row>
    <row r="8" spans="1:21" ht="15.75">
      <c r="A8" s="147" t="s">
        <v>142</v>
      </c>
      <c r="B8" s="148"/>
      <c r="C8" s="148"/>
      <c r="D8" s="148"/>
      <c r="E8" s="148"/>
      <c r="F8" s="148"/>
      <c r="G8" s="148"/>
      <c r="H8" s="149"/>
      <c r="I8" s="150"/>
      <c r="Q8" s="64" t="s">
        <v>127</v>
      </c>
      <c r="S8" s="64" t="s">
        <v>132</v>
      </c>
      <c r="T8" s="64" t="s">
        <v>133</v>
      </c>
      <c r="U8" s="64" t="s">
        <v>134</v>
      </c>
    </row>
    <row r="9" spans="1:21" ht="14.25" customHeight="1" thickBot="1">
      <c r="A9" s="16"/>
      <c r="B9" s="17"/>
      <c r="C9" s="17"/>
      <c r="D9" s="17"/>
      <c r="E9" s="17"/>
      <c r="F9" s="17"/>
      <c r="G9" s="17"/>
      <c r="H9" s="17"/>
      <c r="I9" s="18"/>
      <c r="Q9" s="94"/>
      <c r="S9" s="64">
        <v>2</v>
      </c>
      <c r="T9" s="103">
        <f>1.243+1.568+1.406+0.981</f>
        <v>5.1979999999999995</v>
      </c>
      <c r="U9" s="104">
        <f>T9*S9</f>
        <v>10.395999999999999</v>
      </c>
    </row>
    <row r="10" spans="1:9" ht="21" customHeight="1">
      <c r="A10" s="136" t="s">
        <v>1</v>
      </c>
      <c r="B10" s="134" t="s">
        <v>13</v>
      </c>
      <c r="C10" s="134" t="s">
        <v>2</v>
      </c>
      <c r="D10" s="134" t="s">
        <v>3</v>
      </c>
      <c r="E10" s="134" t="s">
        <v>4</v>
      </c>
      <c r="F10" s="134" t="s">
        <v>7</v>
      </c>
      <c r="G10" s="134" t="s">
        <v>15</v>
      </c>
      <c r="H10" s="134" t="s">
        <v>19</v>
      </c>
      <c r="I10" s="168" t="s">
        <v>17</v>
      </c>
    </row>
    <row r="11" spans="1:9" ht="20.25" customHeight="1">
      <c r="A11" s="137"/>
      <c r="B11" s="135"/>
      <c r="C11" s="135"/>
      <c r="D11" s="135"/>
      <c r="E11" s="135"/>
      <c r="F11" s="135"/>
      <c r="G11" s="135"/>
      <c r="H11" s="135"/>
      <c r="I11" s="169"/>
    </row>
    <row r="12" spans="1:20" ht="12.75">
      <c r="A12" s="75" t="s">
        <v>50</v>
      </c>
      <c r="B12" s="86"/>
      <c r="C12" s="77" t="s">
        <v>38</v>
      </c>
      <c r="D12" s="87"/>
      <c r="E12" s="79"/>
      <c r="F12" s="79"/>
      <c r="G12" s="80"/>
      <c r="H12" s="81"/>
      <c r="I12" s="82"/>
      <c r="P12" s="64" t="s">
        <v>147</v>
      </c>
      <c r="Q12" s="163" t="s">
        <v>152</v>
      </c>
      <c r="R12" s="164"/>
      <c r="S12" s="64" t="s">
        <v>137</v>
      </c>
      <c r="T12" s="64" t="s">
        <v>138</v>
      </c>
    </row>
    <row r="13" spans="1:20" ht="25.5">
      <c r="A13" s="11" t="s">
        <v>51</v>
      </c>
      <c r="B13" s="40" t="s">
        <v>70</v>
      </c>
      <c r="C13" s="1" t="s">
        <v>39</v>
      </c>
      <c r="D13" s="2" t="s">
        <v>3</v>
      </c>
      <c r="E13" s="3">
        <v>1</v>
      </c>
      <c r="F13" s="3">
        <f>M13*L13</f>
        <v>1082.34</v>
      </c>
      <c r="G13" s="22">
        <v>0.239</v>
      </c>
      <c r="H13" s="28">
        <f>F13*G13+F13</f>
        <v>1341.0192599999998</v>
      </c>
      <c r="I13" s="55">
        <f>H13*E13</f>
        <v>1341.0192599999998</v>
      </c>
      <c r="J13" s="56" t="s">
        <v>76</v>
      </c>
      <c r="K13" s="57" t="s">
        <v>26</v>
      </c>
      <c r="L13" s="58">
        <f>1*3</f>
        <v>3</v>
      </c>
      <c r="M13" s="59">
        <v>360.78</v>
      </c>
      <c r="P13" s="64">
        <v>5</v>
      </c>
      <c r="Q13" s="64">
        <v>1.2</v>
      </c>
      <c r="R13" s="64"/>
      <c r="S13" s="64"/>
      <c r="T13" s="64">
        <v>8</v>
      </c>
    </row>
    <row r="14" spans="1:20" ht="25.5">
      <c r="A14" s="11" t="s">
        <v>55</v>
      </c>
      <c r="B14" s="54">
        <v>78472</v>
      </c>
      <c r="C14" s="1" t="s">
        <v>40</v>
      </c>
      <c r="D14" s="2" t="s">
        <v>43</v>
      </c>
      <c r="E14" s="3">
        <f>O6</f>
        <v>578.91</v>
      </c>
      <c r="F14" s="3">
        <v>0.41</v>
      </c>
      <c r="G14" s="22">
        <v>0.239</v>
      </c>
      <c r="H14" s="28">
        <f aca="true" t="shared" si="0" ref="H14:H39">F14*G14+F14</f>
        <v>0.5079899999999999</v>
      </c>
      <c r="I14" s="12">
        <f aca="true" t="shared" si="1" ref="I14:I39">H14*E14</f>
        <v>294.0804909</v>
      </c>
      <c r="P14" s="64">
        <v>36</v>
      </c>
      <c r="Q14" s="64">
        <v>1.2</v>
      </c>
      <c r="R14" s="64"/>
      <c r="S14" s="64"/>
      <c r="T14" s="64">
        <v>8</v>
      </c>
    </row>
    <row r="15" spans="1:20" ht="12.75">
      <c r="A15" s="75" t="s">
        <v>52</v>
      </c>
      <c r="B15" s="83"/>
      <c r="C15" s="77" t="s">
        <v>45</v>
      </c>
      <c r="D15" s="88"/>
      <c r="E15" s="79"/>
      <c r="F15" s="89"/>
      <c r="G15" s="90"/>
      <c r="H15" s="91"/>
      <c r="I15" s="92"/>
      <c r="P15" s="64">
        <v>7</v>
      </c>
      <c r="Q15" s="64">
        <v>1.2</v>
      </c>
      <c r="R15" s="64"/>
      <c r="S15" s="64"/>
      <c r="T15" s="64">
        <v>8</v>
      </c>
    </row>
    <row r="16" spans="1:20" ht="12.75">
      <c r="A16" s="11" t="s">
        <v>56</v>
      </c>
      <c r="B16" s="40">
        <v>72818</v>
      </c>
      <c r="C16" s="1" t="s">
        <v>46</v>
      </c>
      <c r="D16" s="2" t="s">
        <v>68</v>
      </c>
      <c r="E16" s="3">
        <v>1.44</v>
      </c>
      <c r="F16" s="3">
        <v>4.42</v>
      </c>
      <c r="G16" s="22">
        <v>0.239</v>
      </c>
      <c r="H16" s="28">
        <f t="shared" si="0"/>
        <v>5.47638</v>
      </c>
      <c r="I16" s="12">
        <f t="shared" si="1"/>
        <v>7.8859872</v>
      </c>
      <c r="P16" s="64">
        <v>39</v>
      </c>
      <c r="Q16" s="64">
        <v>1.2</v>
      </c>
      <c r="R16" s="64"/>
      <c r="S16" s="64"/>
      <c r="T16" s="64">
        <v>8</v>
      </c>
    </row>
    <row r="17" spans="1:20" ht="25.5">
      <c r="A17" s="11" t="s">
        <v>57</v>
      </c>
      <c r="B17" s="40" t="s">
        <v>92</v>
      </c>
      <c r="C17" s="1" t="s">
        <v>47</v>
      </c>
      <c r="D17" s="2" t="s">
        <v>69</v>
      </c>
      <c r="E17" s="3">
        <f>P42</f>
        <v>120</v>
      </c>
      <c r="F17" s="3">
        <v>38.44</v>
      </c>
      <c r="G17" s="22">
        <v>0.239</v>
      </c>
      <c r="H17" s="28">
        <f t="shared" si="0"/>
        <v>47.627159999999996</v>
      </c>
      <c r="I17" s="12">
        <f t="shared" si="1"/>
        <v>5715.2591999999995</v>
      </c>
      <c r="O17" s="102"/>
      <c r="P17" s="64">
        <v>5</v>
      </c>
      <c r="Q17" s="64">
        <v>3</v>
      </c>
      <c r="R17" s="64"/>
      <c r="S17" s="64"/>
      <c r="T17" s="64">
        <v>8</v>
      </c>
    </row>
    <row r="18" spans="1:20" ht="12.75">
      <c r="A18" s="11" t="s">
        <v>58</v>
      </c>
      <c r="B18" s="40" t="s">
        <v>93</v>
      </c>
      <c r="C18" s="1" t="s">
        <v>48</v>
      </c>
      <c r="D18" s="2" t="s">
        <v>3</v>
      </c>
      <c r="E18" s="3">
        <v>6</v>
      </c>
      <c r="F18" s="3">
        <v>1029.02</v>
      </c>
      <c r="G18" s="22">
        <v>0.239</v>
      </c>
      <c r="H18" s="28">
        <f t="shared" si="0"/>
        <v>1274.95578</v>
      </c>
      <c r="I18" s="12">
        <f t="shared" si="1"/>
        <v>7649.73468</v>
      </c>
      <c r="P18" s="64">
        <v>28</v>
      </c>
      <c r="Q18" s="64">
        <v>3</v>
      </c>
      <c r="R18" s="64"/>
      <c r="S18" s="64"/>
      <c r="T18" s="64"/>
    </row>
    <row r="19" spans="1:20" ht="12.75">
      <c r="A19" s="11" t="s">
        <v>59</v>
      </c>
      <c r="B19" s="40">
        <v>5719</v>
      </c>
      <c r="C19" s="1" t="s">
        <v>49</v>
      </c>
      <c r="D19" s="2" t="s">
        <v>68</v>
      </c>
      <c r="E19" s="3">
        <v>86.4</v>
      </c>
      <c r="F19" s="3">
        <v>36.92</v>
      </c>
      <c r="G19" s="22">
        <v>0.239</v>
      </c>
      <c r="H19" s="28">
        <f t="shared" si="0"/>
        <v>45.743880000000004</v>
      </c>
      <c r="I19" s="12">
        <f t="shared" si="1"/>
        <v>3952.2712320000005</v>
      </c>
      <c r="P19" s="64"/>
      <c r="Q19" s="64">
        <v>3</v>
      </c>
      <c r="R19" s="64"/>
      <c r="S19" s="64"/>
      <c r="T19" s="64"/>
    </row>
    <row r="20" spans="1:20" ht="12.75">
      <c r="A20" s="75" t="s">
        <v>53</v>
      </c>
      <c r="B20" s="83"/>
      <c r="C20" s="77" t="s">
        <v>41</v>
      </c>
      <c r="D20" s="88"/>
      <c r="E20" s="79"/>
      <c r="F20" s="79"/>
      <c r="G20" s="90"/>
      <c r="H20" s="91"/>
      <c r="I20" s="92"/>
      <c r="P20" s="64"/>
      <c r="Q20" s="64">
        <v>3</v>
      </c>
      <c r="R20" s="64"/>
      <c r="S20" s="64" t="s">
        <v>139</v>
      </c>
      <c r="T20" s="64">
        <f>SUM(S13:S19)</f>
        <v>0</v>
      </c>
    </row>
    <row r="21" spans="1:18" ht="12.75">
      <c r="A21" s="11" t="s">
        <v>60</v>
      </c>
      <c r="B21" s="40">
        <v>79472</v>
      </c>
      <c r="C21" s="1" t="s">
        <v>85</v>
      </c>
      <c r="D21" s="2" t="s">
        <v>43</v>
      </c>
      <c r="E21" s="3">
        <f>O6</f>
        <v>578.91</v>
      </c>
      <c r="F21" s="3">
        <v>0.36</v>
      </c>
      <c r="G21" s="22">
        <v>0.239</v>
      </c>
      <c r="H21" s="28">
        <f t="shared" si="0"/>
        <v>0.44604</v>
      </c>
      <c r="I21" s="12">
        <f t="shared" si="1"/>
        <v>258.2170164</v>
      </c>
      <c r="M21" s="36"/>
      <c r="N21" s="36"/>
      <c r="O21" s="36"/>
      <c r="P21" s="64"/>
      <c r="Q21" s="64">
        <v>3</v>
      </c>
      <c r="R21" s="64"/>
    </row>
    <row r="22" spans="1:18" ht="12.75">
      <c r="A22" s="11" t="s">
        <v>61</v>
      </c>
      <c r="B22" s="40" t="s">
        <v>129</v>
      </c>
      <c r="C22" s="1" t="s">
        <v>128</v>
      </c>
      <c r="D22" s="2" t="s">
        <v>68</v>
      </c>
      <c r="E22" s="3">
        <f>O6*0.15</f>
        <v>86.83649999999999</v>
      </c>
      <c r="F22" s="3">
        <v>95.34</v>
      </c>
      <c r="G22" s="22">
        <v>0.239</v>
      </c>
      <c r="H22" s="28">
        <f t="shared" si="0"/>
        <v>118.12626</v>
      </c>
      <c r="I22" s="12">
        <f t="shared" si="1"/>
        <v>10257.670976489999</v>
      </c>
      <c r="M22" s="36"/>
      <c r="N22" s="36"/>
      <c r="O22" s="36"/>
      <c r="P22" s="64"/>
      <c r="Q22" s="64">
        <v>3</v>
      </c>
      <c r="R22" s="64"/>
    </row>
    <row r="23" spans="1:19" ht="12.75">
      <c r="A23" s="11" t="s">
        <v>62</v>
      </c>
      <c r="B23" s="40">
        <v>73710</v>
      </c>
      <c r="C23" s="1" t="s">
        <v>87</v>
      </c>
      <c r="D23" s="2" t="s">
        <v>68</v>
      </c>
      <c r="E23" s="3">
        <f>O6*0.1</f>
        <v>57.891</v>
      </c>
      <c r="F23" s="3">
        <v>128.62</v>
      </c>
      <c r="G23" s="22">
        <v>0.239</v>
      </c>
      <c r="H23" s="28">
        <f t="shared" si="0"/>
        <v>159.36018</v>
      </c>
      <c r="I23" s="12">
        <f t="shared" si="1"/>
        <v>9225.520180380001</v>
      </c>
      <c r="M23" s="36"/>
      <c r="N23" s="36"/>
      <c r="O23" s="36"/>
      <c r="P23" s="64"/>
      <c r="Q23" s="64">
        <v>3</v>
      </c>
      <c r="R23" s="64"/>
      <c r="S23" s="36"/>
    </row>
    <row r="24" spans="1:19" ht="12.75">
      <c r="A24" s="11" t="s">
        <v>63</v>
      </c>
      <c r="B24" s="40">
        <v>72945</v>
      </c>
      <c r="C24" s="1" t="s">
        <v>86</v>
      </c>
      <c r="D24" s="2" t="s">
        <v>43</v>
      </c>
      <c r="E24" s="3">
        <f>O6</f>
        <v>578.91</v>
      </c>
      <c r="F24" s="3">
        <v>2.99</v>
      </c>
      <c r="G24" s="22">
        <v>0.239</v>
      </c>
      <c r="H24" s="28">
        <f t="shared" si="0"/>
        <v>3.70461</v>
      </c>
      <c r="I24" s="12">
        <f t="shared" si="1"/>
        <v>2144.6357751</v>
      </c>
      <c r="M24" s="36"/>
      <c r="N24" s="36"/>
      <c r="O24" s="36"/>
      <c r="P24" s="64"/>
      <c r="Q24" s="64">
        <v>3</v>
      </c>
      <c r="R24" s="64"/>
      <c r="S24" s="36"/>
    </row>
    <row r="25" spans="1:19" ht="12.75">
      <c r="A25" s="11" t="s">
        <v>64</v>
      </c>
      <c r="B25" s="40">
        <v>72943</v>
      </c>
      <c r="C25" s="1" t="s">
        <v>88</v>
      </c>
      <c r="D25" s="2" t="s">
        <v>43</v>
      </c>
      <c r="E25" s="3">
        <f>O6</f>
        <v>578.91</v>
      </c>
      <c r="F25" s="3">
        <v>1.14</v>
      </c>
      <c r="G25" s="22">
        <v>0.239</v>
      </c>
      <c r="H25" s="28">
        <f t="shared" si="0"/>
        <v>1.4124599999999998</v>
      </c>
      <c r="I25" s="12">
        <f t="shared" si="1"/>
        <v>817.6872185999998</v>
      </c>
      <c r="M25" s="36"/>
      <c r="N25" s="36"/>
      <c r="O25" s="36"/>
      <c r="P25" s="64"/>
      <c r="Q25" s="64"/>
      <c r="R25" s="64"/>
      <c r="S25" s="36"/>
    </row>
    <row r="26" spans="1:19" ht="25.5">
      <c r="A26" s="11" t="s">
        <v>65</v>
      </c>
      <c r="B26" s="40">
        <v>72965</v>
      </c>
      <c r="C26" s="1" t="s">
        <v>107</v>
      </c>
      <c r="D26" s="2" t="s">
        <v>44</v>
      </c>
      <c r="E26" s="3">
        <f>O6*0.05*2.5</f>
        <v>72.36375</v>
      </c>
      <c r="F26" s="3">
        <v>188.3</v>
      </c>
      <c r="G26" s="22">
        <v>0.239</v>
      </c>
      <c r="H26" s="28">
        <f t="shared" si="0"/>
        <v>233.30370000000002</v>
      </c>
      <c r="I26" s="12">
        <f t="shared" si="1"/>
        <v>16882.730620875</v>
      </c>
      <c r="K26" s="73"/>
      <c r="M26" s="36"/>
      <c r="N26" s="36"/>
      <c r="O26" s="36"/>
      <c r="P26" s="64"/>
      <c r="Q26" s="64"/>
      <c r="R26" s="64"/>
      <c r="S26" s="36"/>
    </row>
    <row r="27" spans="1:19" ht="12.75">
      <c r="A27" s="11"/>
      <c r="B27" s="40">
        <v>83357</v>
      </c>
      <c r="C27" s="1" t="s">
        <v>109</v>
      </c>
      <c r="D27" s="2" t="s">
        <v>108</v>
      </c>
      <c r="E27" s="3">
        <f>E26/2.5*20</f>
        <v>578.91</v>
      </c>
      <c r="F27" s="3">
        <v>0.82</v>
      </c>
      <c r="G27" s="22">
        <v>0.239</v>
      </c>
      <c r="H27" s="28">
        <f t="shared" si="0"/>
        <v>1.0159799999999999</v>
      </c>
      <c r="I27" s="12">
        <f t="shared" si="1"/>
        <v>588.1609818</v>
      </c>
      <c r="M27" s="36"/>
      <c r="N27" s="36"/>
      <c r="O27" s="36"/>
      <c r="P27" s="64"/>
      <c r="Q27" s="64"/>
      <c r="R27" s="64"/>
      <c r="S27" s="36"/>
    </row>
    <row r="28" spans="1:19" ht="12.75">
      <c r="A28" s="11" t="s">
        <v>66</v>
      </c>
      <c r="B28" s="40" t="s">
        <v>94</v>
      </c>
      <c r="C28" s="1" t="s">
        <v>89</v>
      </c>
      <c r="D28" s="2" t="s">
        <v>69</v>
      </c>
      <c r="E28" s="3">
        <f>M6*2</f>
        <v>231.564</v>
      </c>
      <c r="F28" s="3">
        <v>29.26</v>
      </c>
      <c r="G28" s="22">
        <v>0.239</v>
      </c>
      <c r="H28" s="28">
        <f t="shared" si="0"/>
        <v>36.25314</v>
      </c>
      <c r="I28" s="12">
        <f t="shared" si="1"/>
        <v>8394.92211096</v>
      </c>
      <c r="P28" s="64"/>
      <c r="Q28" s="64"/>
      <c r="R28" s="64"/>
      <c r="S28" s="36"/>
    </row>
    <row r="29" spans="1:19" ht="12.75">
      <c r="A29" s="75" t="s">
        <v>54</v>
      </c>
      <c r="B29" s="83"/>
      <c r="C29" s="77" t="s">
        <v>77</v>
      </c>
      <c r="D29" s="78"/>
      <c r="E29" s="79"/>
      <c r="F29" s="79"/>
      <c r="G29" s="90"/>
      <c r="H29" s="91"/>
      <c r="I29" s="92"/>
      <c r="M29" s="36"/>
      <c r="N29" s="36"/>
      <c r="O29" s="36"/>
      <c r="P29" s="64"/>
      <c r="Q29" s="64"/>
      <c r="R29" s="64"/>
      <c r="S29" s="36"/>
    </row>
    <row r="30" spans="1:19" ht="12.75">
      <c r="A30" s="11" t="s">
        <v>67</v>
      </c>
      <c r="B30" s="40" t="s">
        <v>101</v>
      </c>
      <c r="C30" s="70" t="s">
        <v>96</v>
      </c>
      <c r="D30" s="2" t="s">
        <v>43</v>
      </c>
      <c r="E30" s="3">
        <f>Q6</f>
        <v>277.8768</v>
      </c>
      <c r="F30" s="3">
        <v>2.85</v>
      </c>
      <c r="G30" s="22">
        <v>0.239</v>
      </c>
      <c r="H30" s="28">
        <f t="shared" si="0"/>
        <v>3.5311500000000002</v>
      </c>
      <c r="I30" s="12">
        <f t="shared" si="1"/>
        <v>981.2246623200001</v>
      </c>
      <c r="M30" s="36"/>
      <c r="N30" s="36"/>
      <c r="O30" s="36"/>
      <c r="P30" s="64"/>
      <c r="Q30" s="64"/>
      <c r="R30" s="64"/>
      <c r="S30" s="36"/>
    </row>
    <row r="31" spans="1:18" ht="12.75">
      <c r="A31" s="11" t="s">
        <v>121</v>
      </c>
      <c r="B31" s="40" t="s">
        <v>102</v>
      </c>
      <c r="C31" s="71" t="s">
        <v>97</v>
      </c>
      <c r="D31" s="2" t="s">
        <v>68</v>
      </c>
      <c r="E31" s="3">
        <f>E30*0.05</f>
        <v>13.89384</v>
      </c>
      <c r="F31" s="3">
        <v>96.89</v>
      </c>
      <c r="G31" s="22">
        <v>0.239</v>
      </c>
      <c r="H31" s="28">
        <f t="shared" si="0"/>
        <v>120.04671</v>
      </c>
      <c r="I31" s="12">
        <f t="shared" si="1"/>
        <v>1667.9097812664002</v>
      </c>
      <c r="M31" s="36"/>
      <c r="N31" s="36"/>
      <c r="O31" s="36"/>
      <c r="P31" s="64"/>
      <c r="Q31" s="64"/>
      <c r="R31" s="64"/>
    </row>
    <row r="32" spans="1:18" ht="25.5">
      <c r="A32" s="11" t="s">
        <v>122</v>
      </c>
      <c r="B32" s="40" t="s">
        <v>103</v>
      </c>
      <c r="C32" s="71" t="s">
        <v>98</v>
      </c>
      <c r="D32" s="2" t="s">
        <v>43</v>
      </c>
      <c r="E32" s="3">
        <f>E30</f>
        <v>277.8768</v>
      </c>
      <c r="F32" s="3">
        <v>45.55</v>
      </c>
      <c r="G32" s="22">
        <v>0.239</v>
      </c>
      <c r="H32" s="28">
        <f t="shared" si="0"/>
        <v>56.436449999999994</v>
      </c>
      <c r="I32" s="12">
        <f t="shared" si="1"/>
        <v>15682.380129359999</v>
      </c>
      <c r="M32" s="36"/>
      <c r="N32" s="36"/>
      <c r="O32" s="36"/>
      <c r="P32" s="64"/>
      <c r="Q32" s="64"/>
      <c r="R32" s="64"/>
    </row>
    <row r="33" spans="1:18" ht="12.75">
      <c r="A33" s="11" t="s">
        <v>123</v>
      </c>
      <c r="B33" s="40" t="s">
        <v>104</v>
      </c>
      <c r="C33" s="71" t="s">
        <v>141</v>
      </c>
      <c r="D33" s="2" t="s">
        <v>68</v>
      </c>
      <c r="E33" s="3">
        <f>E30*0.02</f>
        <v>5.557536</v>
      </c>
      <c r="F33" s="3">
        <v>101.56</v>
      </c>
      <c r="G33" s="22">
        <v>0.239</v>
      </c>
      <c r="H33" s="28">
        <f t="shared" si="0"/>
        <v>125.83284</v>
      </c>
      <c r="I33" s="12">
        <f t="shared" si="1"/>
        <v>699.32053828224</v>
      </c>
      <c r="M33" s="36"/>
      <c r="N33" s="36"/>
      <c r="O33" s="36"/>
      <c r="P33" s="64"/>
      <c r="Q33" s="64"/>
      <c r="R33" s="64"/>
    </row>
    <row r="34" spans="1:18" ht="12.75">
      <c r="A34" s="11" t="s">
        <v>124</v>
      </c>
      <c r="B34" s="40" t="s">
        <v>105</v>
      </c>
      <c r="C34" s="71" t="s">
        <v>99</v>
      </c>
      <c r="D34" s="2" t="s">
        <v>43</v>
      </c>
      <c r="E34" s="3">
        <f>E28*0.2</f>
        <v>46.3128</v>
      </c>
      <c r="F34" s="3">
        <v>38</v>
      </c>
      <c r="G34" s="22">
        <v>0.239</v>
      </c>
      <c r="H34" s="28">
        <f t="shared" si="0"/>
        <v>47.082</v>
      </c>
      <c r="I34" s="12">
        <f t="shared" si="1"/>
        <v>2180.4992496</v>
      </c>
      <c r="M34" s="36"/>
      <c r="N34" s="36"/>
      <c r="O34" s="36"/>
      <c r="P34" s="64"/>
      <c r="Q34" s="64"/>
      <c r="R34" s="64"/>
    </row>
    <row r="35" spans="1:18" ht="12.75">
      <c r="A35" s="11" t="s">
        <v>125</v>
      </c>
      <c r="B35" s="40" t="s">
        <v>105</v>
      </c>
      <c r="C35" s="71" t="s">
        <v>100</v>
      </c>
      <c r="D35" s="2" t="s">
        <v>43</v>
      </c>
      <c r="E35">
        <f>Q42*0.2</f>
        <v>5.760000000000001</v>
      </c>
      <c r="F35" s="3">
        <v>38</v>
      </c>
      <c r="G35" s="22">
        <v>0.239</v>
      </c>
      <c r="H35" s="28">
        <f t="shared" si="0"/>
        <v>47.082</v>
      </c>
      <c r="I35" s="12">
        <f>H35*E34</f>
        <v>2180.4992496</v>
      </c>
      <c r="M35" s="36"/>
      <c r="N35" s="36"/>
      <c r="O35" s="36"/>
      <c r="P35" s="64"/>
      <c r="Q35" s="64"/>
      <c r="R35" s="64"/>
    </row>
    <row r="36" spans="1:18" ht="12.75">
      <c r="A36" s="11" t="s">
        <v>126</v>
      </c>
      <c r="B36" s="66" t="s">
        <v>140</v>
      </c>
      <c r="C36" s="72" t="s">
        <v>135</v>
      </c>
      <c r="D36" s="2" t="s">
        <v>68</v>
      </c>
      <c r="E36" s="3">
        <f>E28*0.2*0.1</f>
        <v>4.63128</v>
      </c>
      <c r="F36" s="3">
        <v>347.55</v>
      </c>
      <c r="G36" s="22">
        <v>0.239</v>
      </c>
      <c r="H36" s="28">
        <f t="shared" si="0"/>
        <v>430.61445000000003</v>
      </c>
      <c r="I36" s="12">
        <f t="shared" si="1"/>
        <v>1994.2960899960003</v>
      </c>
      <c r="L36" s="3"/>
      <c r="M36" s="36"/>
      <c r="N36" s="36"/>
      <c r="O36" s="36"/>
      <c r="P36" s="64"/>
      <c r="Q36" s="64"/>
      <c r="R36" s="64"/>
    </row>
    <row r="37" spans="1:18" ht="12.75">
      <c r="A37" s="75" t="s">
        <v>79</v>
      </c>
      <c r="B37" s="83"/>
      <c r="C37" s="77" t="s">
        <v>42</v>
      </c>
      <c r="D37" s="88"/>
      <c r="E37" s="79"/>
      <c r="F37" s="79"/>
      <c r="G37" s="90"/>
      <c r="H37" s="91"/>
      <c r="I37" s="92"/>
      <c r="P37" s="64"/>
      <c r="Q37" s="64"/>
      <c r="R37" s="64"/>
    </row>
    <row r="38" spans="1:18" ht="12.75">
      <c r="A38" s="11" t="s">
        <v>80</v>
      </c>
      <c r="B38" s="40">
        <v>72947</v>
      </c>
      <c r="C38" s="1" t="s">
        <v>91</v>
      </c>
      <c r="D38" s="2" t="s">
        <v>43</v>
      </c>
      <c r="E38" s="3">
        <f>M6*0.15</f>
        <v>17.3673</v>
      </c>
      <c r="F38" s="3">
        <v>17.37</v>
      </c>
      <c r="G38" s="22">
        <v>0.239</v>
      </c>
      <c r="H38" s="28">
        <f t="shared" si="0"/>
        <v>21.521430000000002</v>
      </c>
      <c r="I38" s="12">
        <f t="shared" si="1"/>
        <v>373.76913123900005</v>
      </c>
      <c r="P38" s="64"/>
      <c r="Q38" s="64"/>
      <c r="R38" s="64"/>
    </row>
    <row r="39" spans="1:18" ht="12.75">
      <c r="A39" s="11" t="s">
        <v>81</v>
      </c>
      <c r="B39" s="40">
        <v>72947</v>
      </c>
      <c r="C39" s="1" t="s">
        <v>90</v>
      </c>
      <c r="D39" s="2" t="s">
        <v>43</v>
      </c>
      <c r="E39" s="3">
        <f>U9+U6</f>
        <v>35.996</v>
      </c>
      <c r="F39" s="3">
        <v>17.37</v>
      </c>
      <c r="G39" s="22">
        <v>0.239</v>
      </c>
      <c r="H39" s="28">
        <f t="shared" si="0"/>
        <v>21.521430000000002</v>
      </c>
      <c r="I39" s="12">
        <f t="shared" si="1"/>
        <v>774.6853942800001</v>
      </c>
      <c r="P39" s="64"/>
      <c r="Q39" s="64"/>
      <c r="R39" s="64"/>
    </row>
    <row r="40" spans="1:18" ht="12.75">
      <c r="A40" s="75" t="s">
        <v>82</v>
      </c>
      <c r="B40" s="76"/>
      <c r="C40" s="77" t="s">
        <v>117</v>
      </c>
      <c r="D40" s="78" t="s">
        <v>3</v>
      </c>
      <c r="E40" s="79">
        <v>4</v>
      </c>
      <c r="F40" s="79">
        <f>F41+F42</f>
        <v>152.88</v>
      </c>
      <c r="G40" s="80">
        <v>0.239</v>
      </c>
      <c r="H40" s="81">
        <f aca="true" t="shared" si="2" ref="H40:H45">F40*G40+F40</f>
        <v>189.41832</v>
      </c>
      <c r="I40" s="82">
        <f>H40*E40</f>
        <v>757.67328</v>
      </c>
      <c r="P40" s="64"/>
      <c r="Q40" s="64"/>
      <c r="R40" s="64"/>
    </row>
    <row r="41" spans="1:18" ht="12.75">
      <c r="A41" s="11" t="s">
        <v>112</v>
      </c>
      <c r="B41" s="40" t="s">
        <v>110</v>
      </c>
      <c r="C41" s="1" t="s">
        <v>111</v>
      </c>
      <c r="D41" s="2" t="s">
        <v>3</v>
      </c>
      <c r="E41" s="3">
        <f>E40*2</f>
        <v>8</v>
      </c>
      <c r="F41" s="3">
        <v>21.75</v>
      </c>
      <c r="G41" s="84">
        <v>0.239</v>
      </c>
      <c r="H41" s="85">
        <f t="shared" si="2"/>
        <v>26.94825</v>
      </c>
      <c r="I41" s="12"/>
      <c r="L41" s="74"/>
      <c r="P41" s="64"/>
      <c r="Q41" s="64"/>
      <c r="R41" s="64"/>
    </row>
    <row r="42" spans="1:21" ht="25.5">
      <c r="A42" s="11" t="s">
        <v>113</v>
      </c>
      <c r="B42" s="40">
        <v>7696</v>
      </c>
      <c r="C42" s="1" t="s">
        <v>114</v>
      </c>
      <c r="D42" s="2" t="s">
        <v>3</v>
      </c>
      <c r="E42" s="3">
        <f>E40</f>
        <v>4</v>
      </c>
      <c r="F42" s="3">
        <v>131.13</v>
      </c>
      <c r="G42" s="84">
        <v>0.239</v>
      </c>
      <c r="H42" s="85">
        <f t="shared" si="2"/>
        <v>162.47007</v>
      </c>
      <c r="I42" s="12"/>
      <c r="P42" s="108">
        <f>SUM(P13:P41)</f>
        <v>120</v>
      </c>
      <c r="Q42" s="108">
        <f>SUM(Q13:R40)</f>
        <v>28.8</v>
      </c>
      <c r="S42" s="7"/>
      <c r="T42" s="7"/>
      <c r="U42" s="7"/>
    </row>
    <row r="43" spans="1:9" ht="12.75">
      <c r="A43" s="75" t="s">
        <v>83</v>
      </c>
      <c r="B43" s="83"/>
      <c r="C43" s="77" t="s">
        <v>118</v>
      </c>
      <c r="D43" s="78" t="s">
        <v>3</v>
      </c>
      <c r="E43" s="79">
        <v>2</v>
      </c>
      <c r="F43" s="79">
        <f>F44+F45</f>
        <v>202.17000000000002</v>
      </c>
      <c r="G43" s="80">
        <v>0.239</v>
      </c>
      <c r="H43" s="81">
        <f t="shared" si="2"/>
        <v>250.48863</v>
      </c>
      <c r="I43" s="82">
        <f>H43*E43</f>
        <v>500.97726</v>
      </c>
    </row>
    <row r="44" spans="1:12" ht="12.75">
      <c r="A44" s="11" t="s">
        <v>115</v>
      </c>
      <c r="B44" s="40" t="s">
        <v>110</v>
      </c>
      <c r="C44" s="1" t="s">
        <v>119</v>
      </c>
      <c r="D44" s="2" t="s">
        <v>3</v>
      </c>
      <c r="E44" s="3">
        <f>E43</f>
        <v>2</v>
      </c>
      <c r="F44" s="3">
        <v>49.18</v>
      </c>
      <c r="G44" s="22">
        <v>0.239</v>
      </c>
      <c r="H44" s="28">
        <f t="shared" si="2"/>
        <v>60.93402</v>
      </c>
      <c r="I44" s="12"/>
      <c r="L44" s="74"/>
    </row>
    <row r="45" spans="1:9" ht="25.5">
      <c r="A45" s="11" t="s">
        <v>116</v>
      </c>
      <c r="B45" s="40">
        <v>7696</v>
      </c>
      <c r="C45" s="1" t="s">
        <v>120</v>
      </c>
      <c r="D45" s="2" t="s">
        <v>3</v>
      </c>
      <c r="E45" s="3">
        <f>E44</f>
        <v>2</v>
      </c>
      <c r="F45">
        <v>152.99</v>
      </c>
      <c r="G45" s="22">
        <v>0.239</v>
      </c>
      <c r="H45" s="28">
        <f t="shared" si="2"/>
        <v>189.55461000000003</v>
      </c>
      <c r="I45" s="12"/>
    </row>
    <row r="46" spans="1:9" ht="12.75">
      <c r="A46" s="11"/>
      <c r="B46" s="5"/>
      <c r="C46" s="1"/>
      <c r="D46" s="4"/>
      <c r="E46" s="3"/>
      <c r="F46" s="3"/>
      <c r="G46" s="22"/>
      <c r="H46" s="28"/>
      <c r="I46" s="12"/>
    </row>
    <row r="47" spans="1:11" ht="12.75" customHeight="1" thickBot="1">
      <c r="A47" s="112" t="s">
        <v>16</v>
      </c>
      <c r="B47" s="113"/>
      <c r="C47" s="113"/>
      <c r="D47" s="113"/>
      <c r="E47" s="113"/>
      <c r="F47" s="113"/>
      <c r="G47" s="113"/>
      <c r="H47" s="114"/>
      <c r="I47" s="93">
        <f>ROUND(SUM(I12:I46),2)</f>
        <v>95323.03</v>
      </c>
      <c r="J47" s="60">
        <f>I47/O6</f>
        <v>164.65949802214507</v>
      </c>
      <c r="K47" s="61" t="s">
        <v>84</v>
      </c>
    </row>
    <row r="48" spans="1:21" s="7" customFormat="1" ht="12.75">
      <c r="A48" s="13"/>
      <c r="B48" s="6"/>
      <c r="C48" s="6"/>
      <c r="D48" s="6"/>
      <c r="E48" s="6"/>
      <c r="F48" s="6"/>
      <c r="G48" s="6"/>
      <c r="H48" s="6"/>
      <c r="I48" s="14"/>
      <c r="S48"/>
      <c r="T48"/>
      <c r="U48"/>
    </row>
    <row r="49" spans="1:9" ht="12.75">
      <c r="A49" s="152" t="s">
        <v>144</v>
      </c>
      <c r="B49" s="153"/>
      <c r="C49" s="158" t="s">
        <v>151</v>
      </c>
      <c r="D49" s="159"/>
      <c r="E49" s="119" t="s">
        <v>5</v>
      </c>
      <c r="F49" s="119"/>
      <c r="G49" s="120"/>
      <c r="H49" s="121"/>
      <c r="I49" s="122"/>
    </row>
    <row r="50" spans="1:9" ht="12.75">
      <c r="A50" s="154"/>
      <c r="B50" s="155"/>
      <c r="C50" s="160"/>
      <c r="D50" s="116"/>
      <c r="E50" s="119"/>
      <c r="F50" s="119"/>
      <c r="G50" s="120"/>
      <c r="H50" s="121"/>
      <c r="I50" s="122"/>
    </row>
    <row r="51" spans="1:9" ht="12.75">
      <c r="A51" s="154"/>
      <c r="B51" s="155"/>
      <c r="C51" s="115" t="s">
        <v>153</v>
      </c>
      <c r="D51" s="116"/>
      <c r="E51" s="119"/>
      <c r="F51" s="119"/>
      <c r="G51" s="120"/>
      <c r="H51" s="121"/>
      <c r="I51" s="122"/>
    </row>
    <row r="52" spans="1:9" ht="13.5" thickBot="1">
      <c r="A52" s="156"/>
      <c r="B52" s="157"/>
      <c r="C52" s="117"/>
      <c r="D52" s="118"/>
      <c r="E52" s="123"/>
      <c r="F52" s="123"/>
      <c r="G52" s="124"/>
      <c r="H52" s="125"/>
      <c r="I52" s="126"/>
    </row>
    <row r="54" ht="12.75">
      <c r="A54" s="24" t="s">
        <v>10</v>
      </c>
    </row>
    <row r="55" spans="1:9" ht="12.75" customHeight="1">
      <c r="A55" s="127" t="s">
        <v>12</v>
      </c>
      <c r="B55" s="127"/>
      <c r="C55" s="127"/>
      <c r="D55" s="127"/>
      <c r="E55" s="127"/>
      <c r="F55" s="127"/>
      <c r="G55" s="127"/>
      <c r="H55" s="127"/>
      <c r="I55" s="127"/>
    </row>
    <row r="56" spans="1:9" ht="12.75">
      <c r="A56" s="127"/>
      <c r="B56" s="127"/>
      <c r="C56" s="127"/>
      <c r="D56" s="127"/>
      <c r="E56" s="127"/>
      <c r="F56" s="127"/>
      <c r="G56" s="127"/>
      <c r="H56" s="127"/>
      <c r="I56" s="127"/>
    </row>
    <row r="57" spans="1:9" ht="12.75">
      <c r="A57" s="127"/>
      <c r="B57" s="127"/>
      <c r="C57" s="127"/>
      <c r="D57" s="127"/>
      <c r="E57" s="127"/>
      <c r="F57" s="127"/>
      <c r="G57" s="127"/>
      <c r="H57" s="127"/>
      <c r="I57" s="127"/>
    </row>
    <row r="58" spans="1:9" ht="12.75">
      <c r="A58" s="127"/>
      <c r="B58" s="127"/>
      <c r="C58" s="127"/>
      <c r="D58" s="127"/>
      <c r="E58" s="127"/>
      <c r="F58" s="127"/>
      <c r="G58" s="127"/>
      <c r="H58" s="127"/>
      <c r="I58" s="127"/>
    </row>
    <row r="59" spans="1:9" ht="4.5" customHeight="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 customHeight="1">
      <c r="A60" s="127" t="s">
        <v>18</v>
      </c>
      <c r="B60" s="127"/>
      <c r="C60" s="127"/>
      <c r="D60" s="127"/>
      <c r="E60" s="127"/>
      <c r="F60" s="127"/>
      <c r="G60" s="127"/>
      <c r="H60" s="127"/>
      <c r="I60" s="127"/>
    </row>
    <row r="61" spans="1:9" ht="12.75">
      <c r="A61" s="127"/>
      <c r="B61" s="127"/>
      <c r="C61" s="127"/>
      <c r="D61" s="127"/>
      <c r="E61" s="127"/>
      <c r="F61" s="127"/>
      <c r="G61" s="127"/>
      <c r="H61" s="127"/>
      <c r="I61" s="127"/>
    </row>
    <row r="62" spans="1:9" ht="4.5" customHeight="1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151" t="s">
        <v>11</v>
      </c>
      <c r="B63" s="151"/>
      <c r="C63" s="151"/>
      <c r="D63" s="151"/>
      <c r="E63" s="151"/>
      <c r="F63" s="151"/>
      <c r="G63" s="151"/>
      <c r="H63" s="151"/>
      <c r="I63" s="151"/>
    </row>
  </sheetData>
  <sheetProtection/>
  <mergeCells count="28">
    <mergeCell ref="Q12:R12"/>
    <mergeCell ref="S4:U4"/>
    <mergeCell ref="I1:I2"/>
    <mergeCell ref="C10:C11"/>
    <mergeCell ref="E10:E11"/>
    <mergeCell ref="I10:I11"/>
    <mergeCell ref="H10:H11"/>
    <mergeCell ref="B5:G6"/>
    <mergeCell ref="F10:F11"/>
    <mergeCell ref="G10:G11"/>
    <mergeCell ref="A2:G2"/>
    <mergeCell ref="A1:G1"/>
    <mergeCell ref="A8:I8"/>
    <mergeCell ref="A63:I63"/>
    <mergeCell ref="A60:I61"/>
    <mergeCell ref="A49:B52"/>
    <mergeCell ref="C49:D50"/>
    <mergeCell ref="A5:A6"/>
    <mergeCell ref="B10:B11"/>
    <mergeCell ref="L4:O4"/>
    <mergeCell ref="A47:H47"/>
    <mergeCell ref="C51:D52"/>
    <mergeCell ref="E49:I52"/>
    <mergeCell ref="A55:I58"/>
    <mergeCell ref="A3:G4"/>
    <mergeCell ref="D10:D11"/>
    <mergeCell ref="A10:A11"/>
    <mergeCell ref="B7:I7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tabSelected="1" view="pageBreakPreview" zoomScale="85" zoomScaleNormal="75" zoomScaleSheetLayoutView="85" zoomScalePageLayoutView="0" workbookViewId="0" topLeftCell="A1">
      <selection activeCell="A3" sqref="A3:N3"/>
    </sheetView>
  </sheetViews>
  <sheetFormatPr defaultColWidth="9.140625" defaultRowHeight="12.75"/>
  <cols>
    <col min="1" max="1" width="5.8515625" style="0" customWidth="1"/>
    <col min="2" max="2" width="7.00390625" style="44" customWidth="1"/>
    <col min="3" max="3" width="15.140625" style="44" customWidth="1"/>
    <col min="4" max="4" width="34.7109375" style="44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4.8515625" style="0" bestFit="1" customWidth="1"/>
    <col min="16" max="16" width="10.28125" style="0" customWidth="1"/>
  </cols>
  <sheetData>
    <row r="1" spans="1:28" ht="36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17" t="s">
        <v>37</v>
      </c>
      <c r="P1" s="218"/>
      <c r="S1" s="200"/>
      <c r="T1" s="200"/>
      <c r="U1" s="200"/>
      <c r="V1" s="200"/>
      <c r="W1" s="200"/>
      <c r="X1" s="200"/>
      <c r="Y1" s="206"/>
      <c r="Z1" s="36"/>
      <c r="AA1" s="36"/>
      <c r="AB1" s="36"/>
    </row>
    <row r="2" spans="1:28" ht="24" customHeight="1">
      <c r="A2" s="209" t="s">
        <v>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19"/>
      <c r="P2" s="220"/>
      <c r="S2" s="200"/>
      <c r="T2" s="200"/>
      <c r="U2" s="200"/>
      <c r="V2" s="200"/>
      <c r="W2" s="200"/>
      <c r="X2" s="200"/>
      <c r="Y2" s="206"/>
      <c r="Z2" s="36"/>
      <c r="AA2" s="36"/>
      <c r="AB2" s="36"/>
    </row>
    <row r="3" spans="1:28" ht="13.5" customHeight="1">
      <c r="A3" s="214" t="s">
        <v>156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  <c r="O3" s="210" t="s">
        <v>35</v>
      </c>
      <c r="P3" s="211"/>
      <c r="S3" s="132"/>
      <c r="T3" s="132"/>
      <c r="U3" s="132"/>
      <c r="V3" s="132"/>
      <c r="W3" s="132"/>
      <c r="X3" s="132"/>
      <c r="Y3" s="38"/>
      <c r="Z3" s="36"/>
      <c r="AA3" s="36"/>
      <c r="AB3" s="36"/>
    </row>
    <row r="4" spans="1:28" ht="36.75" customHeight="1">
      <c r="A4" s="203" t="str">
        <f>CONCATENATE("PROJETO: ",'A1'!B5)</f>
        <v>PROJETO: PAVIMENTACAO  DA RUA HENRIQUE LINS TRECHO ENTRE RUA GELSONIR M. PEREIRA E RUA PEDRO A. C. - COM COMPRIMENTO DE 115,78m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12"/>
      <c r="P4" s="213"/>
      <c r="S4" s="21"/>
      <c r="T4" s="21"/>
      <c r="U4" s="21"/>
      <c r="V4" s="21"/>
      <c r="W4" s="21"/>
      <c r="X4" s="21"/>
      <c r="Y4" s="38"/>
      <c r="Z4" s="36"/>
      <c r="AA4" s="36"/>
      <c r="AB4" s="36"/>
    </row>
    <row r="5" spans="1:28" ht="13.5" customHeight="1">
      <c r="A5" s="198" t="s">
        <v>9</v>
      </c>
      <c r="B5" s="199"/>
      <c r="C5" s="199"/>
      <c r="D5" s="65" t="s">
        <v>149</v>
      </c>
      <c r="E5" s="36"/>
      <c r="F5" s="36"/>
      <c r="G5" s="36"/>
      <c r="H5" s="39"/>
      <c r="I5" s="39"/>
      <c r="J5" s="39"/>
      <c r="K5" s="39"/>
      <c r="L5" s="39"/>
      <c r="M5" s="39"/>
      <c r="N5" s="39"/>
      <c r="O5" s="68" t="s">
        <v>95</v>
      </c>
      <c r="P5" s="69"/>
      <c r="S5" s="21"/>
      <c r="T5" s="21"/>
      <c r="U5" s="21"/>
      <c r="V5" s="21"/>
      <c r="W5" s="21"/>
      <c r="X5" s="21"/>
      <c r="Y5" s="38"/>
      <c r="Z5" s="36"/>
      <c r="AA5" s="36"/>
      <c r="AB5" s="36"/>
    </row>
    <row r="6" spans="1:28" ht="12.75" customHeight="1">
      <c r="A6" s="190" t="s">
        <v>143</v>
      </c>
      <c r="B6" s="191"/>
      <c r="C6" s="191"/>
      <c r="D6" s="191"/>
      <c r="E6" s="191"/>
      <c r="F6" s="191"/>
      <c r="G6" s="191"/>
      <c r="H6" s="185" t="s">
        <v>34</v>
      </c>
      <c r="I6" s="186"/>
      <c r="J6" s="186"/>
      <c r="K6" s="186"/>
      <c r="L6" s="186"/>
      <c r="M6" s="186"/>
      <c r="N6" s="186"/>
      <c r="O6" s="179" t="str">
        <f>'A1'!I6</f>
        <v>25/2014</v>
      </c>
      <c r="P6" s="180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4.25" customHeight="1">
      <c r="A7" s="205" t="s">
        <v>1</v>
      </c>
      <c r="B7" s="192" t="s">
        <v>2</v>
      </c>
      <c r="C7" s="192"/>
      <c r="D7" s="192"/>
      <c r="E7" s="187" t="s">
        <v>33</v>
      </c>
      <c r="F7" s="187"/>
      <c r="G7" s="187"/>
      <c r="H7" s="187"/>
      <c r="I7" s="187"/>
      <c r="J7" s="187"/>
      <c r="K7" s="187"/>
      <c r="L7" s="187"/>
      <c r="M7" s="187"/>
      <c r="N7" s="187"/>
      <c r="O7" s="201" t="s">
        <v>32</v>
      </c>
      <c r="P7" s="202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4.25" customHeight="1">
      <c r="A8" s="205"/>
      <c r="B8" s="192"/>
      <c r="C8" s="192"/>
      <c r="D8" s="192"/>
      <c r="E8" s="188" t="s">
        <v>31</v>
      </c>
      <c r="F8" s="189"/>
      <c r="G8" s="188" t="s">
        <v>30</v>
      </c>
      <c r="H8" s="189"/>
      <c r="I8" s="188" t="s">
        <v>29</v>
      </c>
      <c r="J8" s="189"/>
      <c r="K8" s="188" t="s">
        <v>28</v>
      </c>
      <c r="L8" s="189"/>
      <c r="M8" s="188" t="s">
        <v>27</v>
      </c>
      <c r="N8" s="189"/>
      <c r="O8" s="201"/>
      <c r="P8" s="202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2.75">
      <c r="A9" s="205"/>
      <c r="B9" s="192"/>
      <c r="C9" s="192"/>
      <c r="D9" s="192"/>
      <c r="E9" s="34" t="s">
        <v>26</v>
      </c>
      <c r="F9" s="34" t="s">
        <v>25</v>
      </c>
      <c r="G9" s="34" t="s">
        <v>26</v>
      </c>
      <c r="H9" s="34" t="s">
        <v>25</v>
      </c>
      <c r="I9" s="34" t="s">
        <v>26</v>
      </c>
      <c r="J9" s="34" t="s">
        <v>25</v>
      </c>
      <c r="K9" s="34" t="s">
        <v>26</v>
      </c>
      <c r="L9" s="34" t="s">
        <v>25</v>
      </c>
      <c r="M9" s="34" t="s">
        <v>26</v>
      </c>
      <c r="N9" s="34" t="s">
        <v>25</v>
      </c>
      <c r="O9" s="34" t="s">
        <v>26</v>
      </c>
      <c r="P9" s="37" t="s">
        <v>25</v>
      </c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3.5" customHeight="1">
      <c r="A10" s="11" t="str">
        <f>'A1'!A12</f>
        <v>1.0</v>
      </c>
      <c r="B10" s="176" t="str">
        <f>'A1'!C12</f>
        <v>SERVICOS PRELIMINARES</v>
      </c>
      <c r="C10" s="177"/>
      <c r="D10" s="178"/>
      <c r="E10" s="35"/>
      <c r="F10" s="45"/>
      <c r="G10" s="35"/>
      <c r="H10" s="45"/>
      <c r="I10" s="35"/>
      <c r="J10" s="45"/>
      <c r="K10" s="35"/>
      <c r="L10" s="45"/>
      <c r="M10" s="35"/>
      <c r="N10" s="45"/>
      <c r="O10" s="32"/>
      <c r="P10" s="48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29.25" customHeight="1">
      <c r="A11" s="11" t="str">
        <f>'A1'!A13</f>
        <v>1.1</v>
      </c>
      <c r="B11" s="176" t="str">
        <f>'A1'!C13</f>
        <v>PLACA DE OBRA COM DIMENSÕES DE 1,0m X 3,0m COM PINTURA CONFORME ESPECIFICAÇÃO DO PROGRAMA</v>
      </c>
      <c r="C11" s="177"/>
      <c r="D11" s="178"/>
      <c r="E11" s="35">
        <f>'A1'!$I13*'A2'!F11</f>
        <v>1341.0192599999998</v>
      </c>
      <c r="F11" s="45">
        <v>1</v>
      </c>
      <c r="G11" s="35">
        <f>'A1'!$I13*'A2'!H11</f>
        <v>0</v>
      </c>
      <c r="H11" s="45"/>
      <c r="I11" s="35">
        <f>'A1'!$I13*'A2'!J11</f>
        <v>0</v>
      </c>
      <c r="J11" s="45"/>
      <c r="K11" s="35">
        <f>'A1'!$I13*'A2'!L11</f>
        <v>0</v>
      </c>
      <c r="L11" s="45"/>
      <c r="M11" s="35">
        <f>'A1'!$I13*'A2'!N11</f>
        <v>0</v>
      </c>
      <c r="N11" s="45"/>
      <c r="O11" s="32">
        <f aca="true" t="shared" si="0" ref="O11:O46">E11+G11+I11+K11+M11</f>
        <v>1341.0192599999998</v>
      </c>
      <c r="P11" s="48">
        <f aca="true" t="shared" si="1" ref="P11:P43">F11+H11+J11+L11+N11</f>
        <v>1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34.5" customHeight="1">
      <c r="A12" s="11" t="str">
        <f>'A1'!A14</f>
        <v>1.2</v>
      </c>
      <c r="B12" s="176" t="str">
        <f>'A1'!C14</f>
        <v>LOCACAO DA OBRA, COM USO DE EQUIPAMENTOS TOPOGRAFICOS, INCLUSIVE TOPOGRAFO  E NIVELADOR</v>
      </c>
      <c r="C12" s="177"/>
      <c r="D12" s="178"/>
      <c r="E12" s="35">
        <f>'A1'!$I14*'A2'!F12</f>
        <v>294.0804909</v>
      </c>
      <c r="F12" s="45">
        <v>1</v>
      </c>
      <c r="G12" s="35">
        <f>'A1'!$I14*'A2'!H12</f>
        <v>0</v>
      </c>
      <c r="H12" s="45"/>
      <c r="I12" s="35">
        <f>'A1'!$I14*'A2'!J12</f>
        <v>0</v>
      </c>
      <c r="J12" s="50"/>
      <c r="K12" s="35">
        <f>'A1'!$I14*'A2'!L12</f>
        <v>0</v>
      </c>
      <c r="L12" s="45"/>
      <c r="M12" s="35">
        <f>'A1'!$I14*'A2'!N12</f>
        <v>0</v>
      </c>
      <c r="N12" s="45"/>
      <c r="O12" s="32">
        <f t="shared" si="0"/>
        <v>294.0804909</v>
      </c>
      <c r="P12" s="48">
        <f t="shared" si="1"/>
        <v>1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16" ht="13.5" customHeight="1">
      <c r="A13" s="11" t="str">
        <f>'A1'!A15</f>
        <v>2.0</v>
      </c>
      <c r="B13" s="176" t="str">
        <f>'A1'!C15</f>
        <v>DRENAGEM</v>
      </c>
      <c r="C13" s="177"/>
      <c r="D13" s="178"/>
      <c r="E13" s="35">
        <f>'A1'!$I15*'A2'!F13</f>
        <v>0</v>
      </c>
      <c r="F13" s="45"/>
      <c r="G13" s="35">
        <f>'A1'!$I15*'A2'!H13</f>
        <v>0</v>
      </c>
      <c r="H13" s="45"/>
      <c r="I13" s="35">
        <f>'A1'!$I15*'A2'!J13</f>
        <v>0</v>
      </c>
      <c r="J13" s="45"/>
      <c r="K13" s="35">
        <f>'A1'!$I15*'A2'!L13</f>
        <v>0</v>
      </c>
      <c r="L13" s="45"/>
      <c r="M13" s="35">
        <f>'A1'!$I15*'A2'!N13</f>
        <v>0</v>
      </c>
      <c r="N13" s="45"/>
      <c r="O13" s="32">
        <f t="shared" si="0"/>
        <v>0</v>
      </c>
      <c r="P13" s="48">
        <f t="shared" si="1"/>
        <v>0</v>
      </c>
    </row>
    <row r="14" spans="1:16" ht="31.5" customHeight="1">
      <c r="A14" s="11" t="str">
        <f>'A1'!A16</f>
        <v>2.1</v>
      </c>
      <c r="B14" s="176" t="str">
        <f>'A1'!C16</f>
        <v>ESCAVAÇÃO MECANICA DE VALAS, SOLO 1 CAT., COM TRANSPORTE DMT=2KM</v>
      </c>
      <c r="C14" s="177"/>
      <c r="D14" s="178"/>
      <c r="E14" s="35">
        <f>'A1'!$I16*'A2'!F14</f>
        <v>3.9429936</v>
      </c>
      <c r="F14" s="45">
        <v>0.5</v>
      </c>
      <c r="G14" s="35">
        <f>'A1'!$I16*'A2'!H14</f>
        <v>3.9429936</v>
      </c>
      <c r="H14" s="45">
        <v>0.5</v>
      </c>
      <c r="I14" s="35">
        <f>'A1'!$I16*'A2'!J14</f>
        <v>0</v>
      </c>
      <c r="J14" s="45"/>
      <c r="K14" s="35">
        <f>'A1'!$I16*'A2'!L14</f>
        <v>0</v>
      </c>
      <c r="L14" s="45"/>
      <c r="M14" s="35">
        <f>'A1'!$I16*'A2'!N14</f>
        <v>0</v>
      </c>
      <c r="N14" s="45"/>
      <c r="O14" s="32">
        <f t="shared" si="0"/>
        <v>7.8859872</v>
      </c>
      <c r="P14" s="48">
        <f t="shared" si="1"/>
        <v>1</v>
      </c>
    </row>
    <row r="15" spans="1:16" ht="44.25" customHeight="1">
      <c r="A15" s="11" t="str">
        <f>'A1'!A17</f>
        <v>2.3</v>
      </c>
      <c r="B15" s="176" t="str">
        <f>'A1'!C17</f>
        <v>TUBOS DE CONCRETO: FORNECIMENTO, CARGA, TRANSPORTE, COLOCAÇÃO SOB CAMADA DE BRITA E=10CM E REJUNTE INT. E EXT. PARA DIAMENTRO DE 40cm</v>
      </c>
      <c r="C15" s="177"/>
      <c r="D15" s="178"/>
      <c r="E15" s="35">
        <f>'A1'!$I17*'A2'!F15</f>
        <v>2857.6295999999998</v>
      </c>
      <c r="F15" s="45">
        <v>0.5</v>
      </c>
      <c r="G15" s="35">
        <f>'A1'!$I17*'A2'!H15</f>
        <v>2857.6295999999998</v>
      </c>
      <c r="H15" s="45">
        <v>0.5</v>
      </c>
      <c r="I15" s="35">
        <f>'A1'!$I17*'A2'!J15</f>
        <v>0</v>
      </c>
      <c r="J15" s="45"/>
      <c r="K15" s="35">
        <f>'A1'!$I17*'A2'!L15</f>
        <v>0</v>
      </c>
      <c r="L15" s="45"/>
      <c r="M15" s="35">
        <f>'A1'!$I17*'A2'!N15</f>
        <v>0</v>
      </c>
      <c r="N15" s="45"/>
      <c r="O15" s="32">
        <f t="shared" si="0"/>
        <v>5715.2591999999995</v>
      </c>
      <c r="P15" s="48">
        <f t="shared" si="1"/>
        <v>1</v>
      </c>
    </row>
    <row r="16" spans="1:16" ht="42.75" customHeight="1">
      <c r="A16" s="11" t="str">
        <f>'A1'!A18</f>
        <v>2.4</v>
      </c>
      <c r="B16" s="176" t="str">
        <f>'A1'!C18</f>
        <v>CAIXAS DE CAPTAÇÃO COMPLETA PARA TUBOS DE DIAMETRO 30CM A 60CM</v>
      </c>
      <c r="C16" s="177"/>
      <c r="D16" s="178"/>
      <c r="E16" s="35">
        <f>'A1'!$I18*'A2'!F16</f>
        <v>3824.86734</v>
      </c>
      <c r="F16" s="45">
        <v>0.5</v>
      </c>
      <c r="G16" s="35">
        <f>'A1'!$I18*'A2'!H16</f>
        <v>3824.86734</v>
      </c>
      <c r="H16" s="45">
        <v>0.5</v>
      </c>
      <c r="I16" s="35">
        <f>'A1'!$I18*'A2'!J16</f>
        <v>0</v>
      </c>
      <c r="J16" s="45"/>
      <c r="K16" s="35">
        <f>'A1'!$I18*'A2'!L16</f>
        <v>0</v>
      </c>
      <c r="L16" s="45"/>
      <c r="M16" s="35">
        <f>'A1'!$I18*'A2'!N16</f>
        <v>0</v>
      </c>
      <c r="N16" s="45"/>
      <c r="O16" s="32">
        <f t="shared" si="0"/>
        <v>7649.73468</v>
      </c>
      <c r="P16" s="48">
        <f t="shared" si="1"/>
        <v>1</v>
      </c>
    </row>
    <row r="17" spans="1:16" ht="29.25" customHeight="1">
      <c r="A17" s="11" t="str">
        <f>'A1'!A19</f>
        <v>2.5</v>
      </c>
      <c r="B17" s="176" t="str">
        <f>'A1'!C19</f>
        <v>REATERRO EM CAMADAS DE 20CM COM FORNECIMENTO DE MATERIAL COMPACTADO</v>
      </c>
      <c r="C17" s="177"/>
      <c r="D17" s="178"/>
      <c r="E17" s="35">
        <f>'A1'!$I19*'A2'!F17</f>
        <v>1976.1356160000003</v>
      </c>
      <c r="F17" s="45">
        <v>0.5</v>
      </c>
      <c r="G17" s="35">
        <f>'A1'!$I19*'A2'!H17</f>
        <v>1976.1356160000003</v>
      </c>
      <c r="H17" s="45">
        <v>0.5</v>
      </c>
      <c r="I17" s="35">
        <f>'A1'!$I19*'A2'!J17</f>
        <v>0</v>
      </c>
      <c r="J17" s="45"/>
      <c r="K17" s="35">
        <f>'A1'!$I19*'A2'!L17</f>
        <v>0</v>
      </c>
      <c r="L17" s="45"/>
      <c r="M17" s="35">
        <f>'A1'!$I19*'A2'!N17</f>
        <v>0</v>
      </c>
      <c r="N17" s="45"/>
      <c r="O17" s="32">
        <f t="shared" si="0"/>
        <v>3952.2712320000005</v>
      </c>
      <c r="P17" s="48">
        <f t="shared" si="1"/>
        <v>1</v>
      </c>
    </row>
    <row r="18" spans="1:16" ht="27" customHeight="1">
      <c r="A18" s="11" t="str">
        <f>'A1'!A20</f>
        <v>3.0</v>
      </c>
      <c r="B18" s="176" t="str">
        <f>'A1'!C20</f>
        <v>PAVIMENTAÇÃO</v>
      </c>
      <c r="C18" s="177"/>
      <c r="D18" s="178"/>
      <c r="E18" s="35">
        <f>'A1'!$I20*'A2'!F18</f>
        <v>0</v>
      </c>
      <c r="F18" s="45">
        <v>0.5</v>
      </c>
      <c r="G18" s="35">
        <f>'A1'!$I20*'A2'!H18</f>
        <v>0</v>
      </c>
      <c r="H18" s="45">
        <v>0.5</v>
      </c>
      <c r="I18" s="35">
        <f>'A1'!$I20*'A2'!J18</f>
        <v>0</v>
      </c>
      <c r="J18" s="45"/>
      <c r="K18" s="35">
        <f>'A1'!$I20*'A2'!L18</f>
        <v>0</v>
      </c>
      <c r="L18" s="45"/>
      <c r="M18" s="35">
        <f>'A1'!$I20*'A2'!N18</f>
        <v>0</v>
      </c>
      <c r="N18" s="45"/>
      <c r="O18" s="32">
        <f t="shared" si="0"/>
        <v>0</v>
      </c>
      <c r="P18" s="48">
        <f t="shared" si="1"/>
        <v>1</v>
      </c>
    </row>
    <row r="19" spans="1:16" ht="13.5" customHeight="1">
      <c r="A19" s="11" t="str">
        <f>'A1'!A21</f>
        <v>3.2</v>
      </c>
      <c r="B19" s="176" t="str">
        <f>'A1'!C21</f>
        <v>REGULARIZACAO E= +- 20cm E PREPARO DA CANCHA COMPACTADA</v>
      </c>
      <c r="C19" s="177"/>
      <c r="D19" s="178"/>
      <c r="E19" s="35">
        <f>'A1'!$I21*'A2'!F19</f>
        <v>129.1085082</v>
      </c>
      <c r="F19" s="45">
        <v>0.5</v>
      </c>
      <c r="G19" s="35">
        <f>'A1'!$I21*'A2'!H19</f>
        <v>129.1085082</v>
      </c>
      <c r="H19" s="45">
        <v>0.5</v>
      </c>
      <c r="I19" s="35">
        <f>'A1'!$I21*'A2'!J19</f>
        <v>0</v>
      </c>
      <c r="J19" s="45"/>
      <c r="K19" s="35">
        <f>'A1'!$I21*'A2'!L19</f>
        <v>0</v>
      </c>
      <c r="L19" s="45"/>
      <c r="M19" s="35">
        <f>'A1'!$I21*'A2'!N19</f>
        <v>0</v>
      </c>
      <c r="N19" s="45"/>
      <c r="O19" s="32">
        <f t="shared" si="0"/>
        <v>258.2170164</v>
      </c>
      <c r="P19" s="48">
        <f t="shared" si="1"/>
        <v>1</v>
      </c>
    </row>
    <row r="20" spans="1:16" ht="28.5" customHeight="1">
      <c r="A20" s="11" t="str">
        <f>'A1'!A22</f>
        <v>3.3</v>
      </c>
      <c r="B20" s="176" t="str">
        <f>'A1'!C22</f>
        <v>EMBASAMENTO DE MATERIAL GRANULAR - RACHAO e=15cm</v>
      </c>
      <c r="C20" s="177"/>
      <c r="D20" s="178"/>
      <c r="E20" s="35">
        <f>'A1'!$I22*'A2'!F20</f>
        <v>0</v>
      </c>
      <c r="F20" s="45"/>
      <c r="G20" s="35">
        <f>'A1'!$I22*'A2'!H20</f>
        <v>5128.835488244999</v>
      </c>
      <c r="H20" s="45">
        <v>0.5</v>
      </c>
      <c r="I20" s="35">
        <f>'A1'!$I22*'A2'!J20</f>
        <v>5128.835488244999</v>
      </c>
      <c r="J20" s="45">
        <v>0.5</v>
      </c>
      <c r="K20" s="35">
        <f>'A1'!$I22*'A2'!L20</f>
        <v>0</v>
      </c>
      <c r="L20" s="45"/>
      <c r="M20" s="35">
        <f>'A1'!$I22*'A2'!N20</f>
        <v>0</v>
      </c>
      <c r="N20" s="45"/>
      <c r="O20" s="32">
        <f t="shared" si="0"/>
        <v>10257.670976489999</v>
      </c>
      <c r="P20" s="48">
        <f t="shared" si="1"/>
        <v>1</v>
      </c>
    </row>
    <row r="21" spans="1:16" ht="16.5" customHeight="1">
      <c r="A21" s="11" t="str">
        <f>'A1'!A23</f>
        <v>3.4</v>
      </c>
      <c r="B21" s="176" t="str">
        <f>'A1'!C23</f>
        <v>CAMADA DE BRITA GRADUADA (E=10CM) EXEC.E TRANSP.</v>
      </c>
      <c r="C21" s="177"/>
      <c r="D21" s="178"/>
      <c r="E21" s="35">
        <f>'A1'!$I23*'A2'!F21</f>
        <v>0</v>
      </c>
      <c r="F21" s="45"/>
      <c r="G21" s="35">
        <f>'A1'!$I23*'A2'!H21</f>
        <v>4612.7600901900005</v>
      </c>
      <c r="H21" s="45">
        <v>0.5</v>
      </c>
      <c r="I21" s="35">
        <f>'A1'!$I23*'A2'!J21</f>
        <v>4612.7600901900005</v>
      </c>
      <c r="J21" s="45">
        <v>0.5</v>
      </c>
      <c r="K21" s="35">
        <f>'A1'!$I23*'A2'!L21</f>
        <v>0</v>
      </c>
      <c r="L21" s="45"/>
      <c r="M21" s="35">
        <f>'A1'!$I23*'A2'!N21</f>
        <v>0</v>
      </c>
      <c r="N21" s="45"/>
      <c r="O21" s="32">
        <f t="shared" si="0"/>
        <v>9225.520180380001</v>
      </c>
      <c r="P21" s="48">
        <f t="shared" si="1"/>
        <v>1</v>
      </c>
    </row>
    <row r="22" spans="1:16" ht="13.5" customHeight="1">
      <c r="A22" s="11" t="str">
        <f>'A1'!A24</f>
        <v>3.5</v>
      </c>
      <c r="B22" s="176" t="str">
        <f>'A1'!C24</f>
        <v>IMPRIMAÇÃO COM  cm 30 COM TAXA DE 1l/m2 EXEC.E TRANSP.</v>
      </c>
      <c r="C22" s="177"/>
      <c r="D22" s="178"/>
      <c r="E22" s="35">
        <f>'A1'!$I24*'A2'!F22</f>
        <v>0</v>
      </c>
      <c r="F22" s="45"/>
      <c r="G22" s="35">
        <f>'A1'!$I24*'A2'!H22</f>
        <v>536.158943775</v>
      </c>
      <c r="H22" s="45">
        <v>0.25</v>
      </c>
      <c r="I22" s="35">
        <f>'A1'!$I24*'A2'!J22</f>
        <v>536.158943775</v>
      </c>
      <c r="J22" s="45">
        <v>0.25</v>
      </c>
      <c r="K22" s="35">
        <f>'A1'!$I24*'A2'!L22</f>
        <v>1072.31788755</v>
      </c>
      <c r="L22" s="45">
        <v>0.5</v>
      </c>
      <c r="M22" s="35">
        <f>'A1'!$I24*'A2'!N22</f>
        <v>0</v>
      </c>
      <c r="N22" s="45"/>
      <c r="O22" s="32">
        <f t="shared" si="0"/>
        <v>2144.6357751</v>
      </c>
      <c r="P22" s="48">
        <f t="shared" si="1"/>
        <v>1</v>
      </c>
    </row>
    <row r="23" spans="1:16" ht="14.25" customHeight="1">
      <c r="A23" s="11" t="str">
        <f>'A1'!A25</f>
        <v>3.6</v>
      </c>
      <c r="B23" s="176" t="str">
        <f>'A1'!C25</f>
        <v>PINTURA DE LIGAÇÃO COM RR-2C COM TAXA DE 0,6 L/M2EXEC.E TRANSP.</v>
      </c>
      <c r="C23" s="177"/>
      <c r="D23" s="178"/>
      <c r="E23" s="35">
        <f>'A1'!$I25*'A2'!F23</f>
        <v>0</v>
      </c>
      <c r="F23" s="45"/>
      <c r="G23" s="35">
        <f>'A1'!$I25*'A2'!H23</f>
        <v>204.42180464999996</v>
      </c>
      <c r="H23" s="45">
        <v>0.25</v>
      </c>
      <c r="I23" s="35">
        <f>'A1'!$I25*'A2'!J23</f>
        <v>204.42180464999996</v>
      </c>
      <c r="J23" s="45">
        <v>0.25</v>
      </c>
      <c r="K23" s="35">
        <f>'A1'!$I25*'A2'!L23</f>
        <v>408.8436092999999</v>
      </c>
      <c r="L23" s="45">
        <v>0.5</v>
      </c>
      <c r="M23" s="35">
        <f>'A1'!$I25*'A2'!N23</f>
        <v>0</v>
      </c>
      <c r="N23" s="45"/>
      <c r="O23" s="32">
        <f t="shared" si="0"/>
        <v>817.6872185999998</v>
      </c>
      <c r="P23" s="48">
        <f t="shared" si="1"/>
        <v>1</v>
      </c>
    </row>
    <row r="24" spans="1:16" ht="27" customHeight="1">
      <c r="A24" s="11" t="str">
        <f>'A1'!A26</f>
        <v>3.7</v>
      </c>
      <c r="B24" s="176" t="str">
        <f>'A1'!C26</f>
        <v>CONCRETO ASFALTICO USINADO A QUENTE CAUQ (E=5CM) INCLUSE COM FORNECIMENTO DE CAP EXECUÇÃO</v>
      </c>
      <c r="C24" s="177"/>
      <c r="D24" s="178"/>
      <c r="E24" s="35">
        <f>'A1'!$I26*'A2'!F24</f>
        <v>0</v>
      </c>
      <c r="F24" s="45"/>
      <c r="G24" s="35">
        <f>'A1'!$I26*'A2'!H24</f>
        <v>4220.68265521875</v>
      </c>
      <c r="H24" s="45">
        <v>0.25</v>
      </c>
      <c r="I24" s="35">
        <f>'A1'!$I26*'A2'!J24</f>
        <v>4220.68265521875</v>
      </c>
      <c r="J24" s="45">
        <v>0.25</v>
      </c>
      <c r="K24" s="35">
        <f>'A1'!$I26*'A2'!L24</f>
        <v>8441.3653104375</v>
      </c>
      <c r="L24" s="45">
        <v>0.5</v>
      </c>
      <c r="M24" s="35">
        <f>'A1'!$I26*'A2'!N24</f>
        <v>0</v>
      </c>
      <c r="N24" s="45"/>
      <c r="O24" s="32">
        <f t="shared" si="0"/>
        <v>16882.730620875</v>
      </c>
      <c r="P24" s="48">
        <f t="shared" si="1"/>
        <v>1</v>
      </c>
    </row>
    <row r="25" spans="1:16" ht="42.75" customHeight="1">
      <c r="A25" s="11">
        <f>'A1'!A27</f>
        <v>0</v>
      </c>
      <c r="B25" s="176" t="str">
        <f>'A1'!C27</f>
        <v>TRANSPORTE LOCAL DE MASSA ASFALTICA - PAVIMENTACAO URBANA DMT 20KM</v>
      </c>
      <c r="C25" s="177"/>
      <c r="D25" s="178"/>
      <c r="E25" s="35">
        <f>'A1'!$I27*'A2'!F25</f>
        <v>0</v>
      </c>
      <c r="F25" s="45"/>
      <c r="G25" s="35">
        <f>'A1'!$I27*'A2'!H25</f>
        <v>147.04024545</v>
      </c>
      <c r="H25" s="45">
        <v>0.25</v>
      </c>
      <c r="I25" s="35">
        <f>'A1'!$I27*'A2'!J25</f>
        <v>147.04024545</v>
      </c>
      <c r="J25" s="45">
        <v>0.25</v>
      </c>
      <c r="K25" s="35">
        <f>'A1'!$I27*'A2'!L25</f>
        <v>294.0804909</v>
      </c>
      <c r="L25" s="45">
        <v>0.5</v>
      </c>
      <c r="M25" s="35">
        <f>'A1'!$I27*'A2'!N25</f>
        <v>0</v>
      </c>
      <c r="N25" s="45"/>
      <c r="O25" s="32">
        <f t="shared" si="0"/>
        <v>588.1609818</v>
      </c>
      <c r="P25" s="48">
        <f t="shared" si="1"/>
        <v>1</v>
      </c>
    </row>
    <row r="26" spans="1:16" ht="28.5" customHeight="1">
      <c r="A26" s="11" t="str">
        <f>'A1'!A28</f>
        <v>3.8</v>
      </c>
      <c r="B26" s="176" t="str">
        <f>'A1'!C28</f>
        <v>MEIO FIO DE CONCRETO CONF. PROJETO (25 MPa)COM ASSENTAMENTO</v>
      </c>
      <c r="C26" s="177"/>
      <c r="D26" s="178"/>
      <c r="E26" s="35">
        <f>'A1'!$I28*'A2'!F26</f>
        <v>0</v>
      </c>
      <c r="F26" s="45"/>
      <c r="G26" s="35">
        <f>'A1'!$I28*'A2'!H26</f>
        <v>0</v>
      </c>
      <c r="H26" s="45"/>
      <c r="I26" s="35">
        <f>'A1'!$I28*'A2'!J26</f>
        <v>0</v>
      </c>
      <c r="J26" s="45"/>
      <c r="K26" s="35">
        <f>'A1'!$I28*'A2'!L26</f>
        <v>4197.46105548</v>
      </c>
      <c r="L26" s="45">
        <v>0.5</v>
      </c>
      <c r="M26" s="35">
        <f>'A1'!$I28*'A2'!N26</f>
        <v>4197.46105548</v>
      </c>
      <c r="N26" s="45">
        <v>0.5</v>
      </c>
      <c r="O26" s="32">
        <f t="shared" si="0"/>
        <v>8394.92211096</v>
      </c>
      <c r="P26" s="48">
        <f t="shared" si="1"/>
        <v>1</v>
      </c>
    </row>
    <row r="27" spans="1:16" ht="13.5" customHeight="1">
      <c r="A27" s="11" t="str">
        <f>'A1'!A29</f>
        <v>4.0</v>
      </c>
      <c r="B27" s="176" t="str">
        <f>'A1'!C29</f>
        <v>PASSEIOS </v>
      </c>
      <c r="C27" s="177"/>
      <c r="D27" s="178"/>
      <c r="E27" s="35">
        <f>'A1'!$I29*'A2'!F27</f>
        <v>0</v>
      </c>
      <c r="F27" s="45"/>
      <c r="G27" s="35">
        <f>'A1'!$I29*'A2'!H27</f>
        <v>0</v>
      </c>
      <c r="H27" s="45"/>
      <c r="I27" s="35">
        <f>'A1'!$I29*'A2'!J27</f>
        <v>0</v>
      </c>
      <c r="J27" s="45"/>
      <c r="K27" s="35">
        <f>'A1'!$I29*'A2'!L27</f>
        <v>0</v>
      </c>
      <c r="L27" s="45">
        <v>0.5</v>
      </c>
      <c r="M27" s="35">
        <f>'A1'!$I29*'A2'!N27</f>
        <v>0</v>
      </c>
      <c r="N27" s="45">
        <v>0.5</v>
      </c>
      <c r="O27" s="32">
        <f t="shared" si="0"/>
        <v>0</v>
      </c>
      <c r="P27" s="48">
        <f t="shared" si="1"/>
        <v>1</v>
      </c>
    </row>
    <row r="28" spans="1:16" ht="13.5" customHeight="1">
      <c r="A28" s="11" t="str">
        <f>'A1'!A30</f>
        <v>4.1</v>
      </c>
      <c r="B28" s="176" t="str">
        <f>'A1'!C30</f>
        <v>REGULARIZAÇÃO E COMPACTAÇÃO MANUAL DO TERRENO.</v>
      </c>
      <c r="C28" s="177"/>
      <c r="D28" s="178"/>
      <c r="E28" s="35">
        <f>'A1'!$I30*'A2'!F28</f>
        <v>0</v>
      </c>
      <c r="F28" s="45"/>
      <c r="G28" s="35">
        <f>'A1'!$I30*'A2'!H28</f>
        <v>0</v>
      </c>
      <c r="H28" s="45"/>
      <c r="I28" s="35">
        <f>'A1'!$I30*'A2'!J28</f>
        <v>0</v>
      </c>
      <c r="J28" s="45"/>
      <c r="K28" s="35">
        <f>'A1'!$I30*'A2'!L28</f>
        <v>490.61233116000005</v>
      </c>
      <c r="L28" s="45">
        <v>0.5</v>
      </c>
      <c r="M28" s="35">
        <f>'A1'!$I30*'A2'!N28</f>
        <v>490.61233116000005</v>
      </c>
      <c r="N28" s="45">
        <v>0.5</v>
      </c>
      <c r="O28" s="32">
        <f t="shared" si="0"/>
        <v>981.2246623200001</v>
      </c>
      <c r="P28" s="48">
        <f t="shared" si="1"/>
        <v>1</v>
      </c>
    </row>
    <row r="29" spans="1:16" ht="13.5" customHeight="1">
      <c r="A29" s="11" t="str">
        <f>'A1'!A31</f>
        <v>4.2</v>
      </c>
      <c r="B29" s="176" t="str">
        <f>'A1'!C31</f>
        <v>LASTRO DE BRITA Nº 2, E= 5,0 CM.</v>
      </c>
      <c r="C29" s="177"/>
      <c r="D29" s="178"/>
      <c r="E29" s="35">
        <f>'A1'!$I31*'A2'!F29</f>
        <v>0</v>
      </c>
      <c r="F29" s="45"/>
      <c r="G29" s="35">
        <f>'A1'!$I31*'A2'!H29</f>
        <v>0</v>
      </c>
      <c r="H29" s="45"/>
      <c r="I29" s="35">
        <f>'A1'!$I31*'A2'!J29</f>
        <v>0</v>
      </c>
      <c r="J29" s="45"/>
      <c r="K29" s="35">
        <f>'A1'!$I31*'A2'!L29</f>
        <v>833.9548906332001</v>
      </c>
      <c r="L29" s="45">
        <v>0.5</v>
      </c>
      <c r="M29" s="35">
        <f>'A1'!$I31*'A2'!N29</f>
        <v>833.9548906332001</v>
      </c>
      <c r="N29" s="45">
        <v>0.5</v>
      </c>
      <c r="O29" s="32">
        <f t="shared" si="0"/>
        <v>1667.9097812664002</v>
      </c>
      <c r="P29" s="48">
        <f t="shared" si="1"/>
        <v>1</v>
      </c>
    </row>
    <row r="30" spans="1:16" ht="13.5" customHeight="1">
      <c r="A30" s="11" t="str">
        <f>'A1'!A32</f>
        <v>4.3</v>
      </c>
      <c r="B30" s="176" t="str">
        <f>'A1'!C32</f>
        <v>PISO COM BLOKRET H=6,0CM PRÉ FABRICADO FCK=25MPA, INCLUSIVE COLCHÃO AREIA APLICAÇÃO, COMPACTAÇÃO E TRANSPORTE.</v>
      </c>
      <c r="C30" s="177"/>
      <c r="D30" s="178"/>
      <c r="E30" s="35">
        <f>'A1'!$I32*'A2'!F30</f>
        <v>0</v>
      </c>
      <c r="F30" s="45"/>
      <c r="G30" s="35">
        <f>'A1'!$I32*'A2'!H30</f>
        <v>0</v>
      </c>
      <c r="H30" s="45"/>
      <c r="I30" s="35">
        <f>'A1'!$I32*'A2'!J30</f>
        <v>0</v>
      </c>
      <c r="J30" s="45"/>
      <c r="K30" s="35">
        <f>'A1'!$I32*'A2'!L30</f>
        <v>7841.1900646799995</v>
      </c>
      <c r="L30" s="45">
        <v>0.5</v>
      </c>
      <c r="M30" s="35">
        <f>'A1'!$I32*'A2'!N30</f>
        <v>7841.1900646799995</v>
      </c>
      <c r="N30" s="45">
        <v>0.5</v>
      </c>
      <c r="O30" s="32">
        <f t="shared" si="0"/>
        <v>15682.380129359999</v>
      </c>
      <c r="P30" s="48">
        <f t="shared" si="1"/>
        <v>1</v>
      </c>
    </row>
    <row r="31" spans="1:16" ht="13.5" customHeight="1">
      <c r="A31" s="11" t="str">
        <f>'A1'!A33</f>
        <v>4.4</v>
      </c>
      <c r="B31" s="176" t="str">
        <f>'A1'!C33</f>
        <v>TRAVAMENTO COM AREIA MEDIA E= 2,0 CM.</v>
      </c>
      <c r="C31" s="177"/>
      <c r="D31" s="178"/>
      <c r="E31" s="35">
        <f>'A1'!$I33*'A2'!F31</f>
        <v>0</v>
      </c>
      <c r="F31" s="45"/>
      <c r="G31" s="35">
        <f>'A1'!$I33*'A2'!H31</f>
        <v>0</v>
      </c>
      <c r="H31" s="45"/>
      <c r="I31" s="35">
        <f>'A1'!$I33*'A2'!J31</f>
        <v>0</v>
      </c>
      <c r="J31" s="45"/>
      <c r="K31" s="35">
        <f>'A1'!$I33*'A2'!L31</f>
        <v>349.66026914112</v>
      </c>
      <c r="L31" s="45">
        <v>0.5</v>
      </c>
      <c r="M31" s="35">
        <f>'A1'!$I33*'A2'!N31</f>
        <v>349.66026914112</v>
      </c>
      <c r="N31" s="45">
        <v>0.5</v>
      </c>
      <c r="O31" s="32">
        <f t="shared" si="0"/>
        <v>699.32053828224</v>
      </c>
      <c r="P31" s="48">
        <f t="shared" si="1"/>
        <v>1</v>
      </c>
    </row>
    <row r="32" spans="1:16" ht="13.5" customHeight="1">
      <c r="A32" s="11" t="str">
        <f>'A1'!A34</f>
        <v>4.5</v>
      </c>
      <c r="B32" s="176" t="str">
        <f>'A1'!C34</f>
        <v>PISO PODOTÁTIL DIRECIONAL (0,20 X 0,20)CM - FCK= 20MPA - E= 6,0 CM</v>
      </c>
      <c r="C32" s="177"/>
      <c r="D32" s="178"/>
      <c r="E32" s="35">
        <f>'A1'!$I34*'A2'!F32</f>
        <v>0</v>
      </c>
      <c r="F32" s="45"/>
      <c r="G32" s="35">
        <f>'A1'!$I34*'A2'!H32</f>
        <v>0</v>
      </c>
      <c r="H32" s="45"/>
      <c r="I32" s="35">
        <f>'A1'!$I34*'A2'!J32</f>
        <v>0</v>
      </c>
      <c r="J32" s="45"/>
      <c r="K32" s="35">
        <f>'A1'!$I34*'A2'!L32</f>
        <v>1090.2496248</v>
      </c>
      <c r="L32" s="45">
        <v>0.5</v>
      </c>
      <c r="M32" s="35">
        <f>'A1'!$I34*'A2'!N32</f>
        <v>1090.2496248</v>
      </c>
      <c r="N32" s="45">
        <v>0.5</v>
      </c>
      <c r="O32" s="32">
        <f t="shared" si="0"/>
        <v>2180.4992496</v>
      </c>
      <c r="P32" s="48">
        <f t="shared" si="1"/>
        <v>1</v>
      </c>
    </row>
    <row r="33" spans="1:16" ht="13.5" customHeight="1">
      <c r="A33" s="11" t="str">
        <f>'A1'!A35</f>
        <v>4.6</v>
      </c>
      <c r="B33" s="176" t="str">
        <f>'A1'!C35</f>
        <v>PISO PODOTÁTIL ALERTA (0,20 X 0,20)CM - FCK= 20MPA - E= 6,0 CM</v>
      </c>
      <c r="C33" s="177"/>
      <c r="D33" s="178"/>
      <c r="E33" s="35">
        <f>'A1'!$I35*'A2'!F33</f>
        <v>0</v>
      </c>
      <c r="F33" s="45"/>
      <c r="G33" s="35">
        <f>'A1'!$I35*'A2'!H33</f>
        <v>0</v>
      </c>
      <c r="H33" s="45"/>
      <c r="I33" s="35">
        <f>'A1'!$I35*'A2'!J33</f>
        <v>0</v>
      </c>
      <c r="J33" s="45"/>
      <c r="K33" s="35">
        <f>'A1'!$I35*'A2'!L33</f>
        <v>1090.2496248</v>
      </c>
      <c r="L33" s="45">
        <v>0.5</v>
      </c>
      <c r="M33" s="35">
        <f>'A1'!$I35*'A2'!N33</f>
        <v>1090.2496248</v>
      </c>
      <c r="N33" s="45">
        <v>0.5</v>
      </c>
      <c r="O33" s="32">
        <f t="shared" si="0"/>
        <v>2180.4992496</v>
      </c>
      <c r="P33" s="48">
        <f t="shared" si="1"/>
        <v>1</v>
      </c>
    </row>
    <row r="34" spans="1:16" ht="13.5" customHeight="1">
      <c r="A34" s="11" t="str">
        <f>'A1'!A36</f>
        <v>4.7</v>
      </c>
      <c r="B34" s="176" t="str">
        <f>'A1'!C36</f>
        <v>VIGA DE CONCRETO SIMPLES ACABAMENTO E TRAVAMENTO INTERNO DA CALÇADA. 10x20cm</v>
      </c>
      <c r="C34" s="177"/>
      <c r="D34" s="178"/>
      <c r="E34" s="35">
        <f>'A1'!$I36*'A2'!F34</f>
        <v>0</v>
      </c>
      <c r="F34" s="45"/>
      <c r="G34" s="35">
        <f>'A1'!$I36*'A2'!H34</f>
        <v>0</v>
      </c>
      <c r="H34" s="45"/>
      <c r="I34" s="35">
        <f>'A1'!$I36*'A2'!J34</f>
        <v>0</v>
      </c>
      <c r="J34" s="45"/>
      <c r="K34" s="35">
        <f>'A1'!$I36*'A2'!L34</f>
        <v>997.1480449980002</v>
      </c>
      <c r="L34" s="45">
        <v>0.5</v>
      </c>
      <c r="M34" s="35">
        <f>'A1'!$I36*'A2'!N34</f>
        <v>997.1480449980002</v>
      </c>
      <c r="N34" s="45">
        <v>0.5</v>
      </c>
      <c r="O34" s="32">
        <f t="shared" si="0"/>
        <v>1994.2960899960003</v>
      </c>
      <c r="P34" s="48">
        <f t="shared" si="1"/>
        <v>1</v>
      </c>
    </row>
    <row r="35" spans="1:16" ht="12.75">
      <c r="A35" s="11" t="str">
        <f>'A1'!A37</f>
        <v>5.0</v>
      </c>
      <c r="B35" s="176" t="str">
        <f>'A1'!C37</f>
        <v>SINALIZAÇÃO</v>
      </c>
      <c r="C35" s="177"/>
      <c r="D35" s="178"/>
      <c r="E35" s="35">
        <f>'A1'!$I37*'A2'!F35</f>
        <v>0</v>
      </c>
      <c r="F35" s="45"/>
      <c r="G35" s="35">
        <f>'A1'!$I37*'A2'!H35</f>
        <v>0</v>
      </c>
      <c r="H35" s="45"/>
      <c r="I35" s="35">
        <f>'A1'!$I37*'A2'!J35</f>
        <v>0</v>
      </c>
      <c r="J35" s="45"/>
      <c r="K35" s="35">
        <f>'A1'!$I37*'A2'!L35</f>
        <v>0</v>
      </c>
      <c r="L35" s="45">
        <v>0.5</v>
      </c>
      <c r="M35" s="35">
        <f>'A1'!$I37*'A2'!N35</f>
        <v>0</v>
      </c>
      <c r="N35" s="45">
        <v>0.5</v>
      </c>
      <c r="O35" s="32">
        <f t="shared" si="0"/>
        <v>0</v>
      </c>
      <c r="P35" s="48">
        <f t="shared" si="1"/>
        <v>1</v>
      </c>
    </row>
    <row r="36" spans="1:16" ht="12.75" customHeight="1">
      <c r="A36" s="11" t="str">
        <f>'A1'!A38</f>
        <v>5.1</v>
      </c>
      <c r="B36" s="176" t="str">
        <f>'A1'!C38</f>
        <v>PINTUTA DE FAIXA HORIZONTAL COM TINTA RODOVIARIA ACRILICA AMARELA</v>
      </c>
      <c r="C36" s="177"/>
      <c r="D36" s="178"/>
      <c r="E36" s="35">
        <f>'A1'!$I38*'A2'!F36</f>
        <v>0</v>
      </c>
      <c r="F36" s="45"/>
      <c r="G36" s="35">
        <f>'A1'!$I38*'A2'!H36</f>
        <v>0</v>
      </c>
      <c r="H36" s="45"/>
      <c r="I36" s="35">
        <f>'A1'!$I38*'A2'!J36</f>
        <v>0</v>
      </c>
      <c r="J36" s="45"/>
      <c r="K36" s="35">
        <f>'A1'!$I38*'A2'!L36</f>
        <v>0</v>
      </c>
      <c r="L36" s="45"/>
      <c r="M36" s="35">
        <f>'A1'!$I38*'A2'!N36</f>
        <v>373.76913123900005</v>
      </c>
      <c r="N36" s="45">
        <v>1</v>
      </c>
      <c r="O36" s="32">
        <f t="shared" si="0"/>
        <v>373.76913123900005</v>
      </c>
      <c r="P36" s="48">
        <f t="shared" si="1"/>
        <v>1</v>
      </c>
    </row>
    <row r="37" spans="1:16" ht="29.25" customHeight="1">
      <c r="A37" s="11" t="str">
        <f>'A1'!A39</f>
        <v>5.2</v>
      </c>
      <c r="B37" s="176" t="str">
        <f>'A1'!C39</f>
        <v>PINTUTA DE FAIXA HORIZONTAL COM TINTA RODOVIARIA ACRILICA BRANCA</v>
      </c>
      <c r="C37" s="177"/>
      <c r="D37" s="178"/>
      <c r="E37" s="35">
        <f>'A1'!$I39*'A2'!F37</f>
        <v>0</v>
      </c>
      <c r="F37" s="45"/>
      <c r="G37" s="35">
        <f>'A1'!$I39*'A2'!H37</f>
        <v>0</v>
      </c>
      <c r="H37" s="45"/>
      <c r="I37" s="35">
        <f>'A1'!$I39*'A2'!J37</f>
        <v>0</v>
      </c>
      <c r="J37" s="45"/>
      <c r="K37" s="35">
        <f>'A1'!$I39*'A2'!L37</f>
        <v>0</v>
      </c>
      <c r="L37" s="45"/>
      <c r="M37" s="35">
        <f>'A1'!$I39*'A2'!N37</f>
        <v>774.6853942800001</v>
      </c>
      <c r="N37" s="45">
        <v>1</v>
      </c>
      <c r="O37" s="32">
        <f t="shared" si="0"/>
        <v>774.6853942800001</v>
      </c>
      <c r="P37" s="48">
        <f t="shared" si="1"/>
        <v>1</v>
      </c>
    </row>
    <row r="38" spans="1:16" ht="12.75">
      <c r="A38" s="11" t="str">
        <f>'A1'!A40</f>
        <v>5.3</v>
      </c>
      <c r="B38" s="176" t="str">
        <f>'A1'!C40</f>
        <v>CONJUNTO DE PLACA DE LOUGRADORO</v>
      </c>
      <c r="C38" s="177"/>
      <c r="D38" s="178"/>
      <c r="E38" s="35">
        <f>'A1'!$I40*'A2'!F38</f>
        <v>0</v>
      </c>
      <c r="F38" s="45"/>
      <c r="G38" s="35">
        <f>'A1'!$I40*'A2'!H38</f>
        <v>0</v>
      </c>
      <c r="H38" s="45"/>
      <c r="I38" s="35">
        <f>'A1'!$I40*'A2'!J38</f>
        <v>0</v>
      </c>
      <c r="J38" s="45"/>
      <c r="K38" s="35">
        <f>'A1'!$I40*'A2'!L38</f>
        <v>0</v>
      </c>
      <c r="L38" s="45"/>
      <c r="M38" s="35">
        <f>'A1'!$I40*'A2'!N38</f>
        <v>757.67328</v>
      </c>
      <c r="N38" s="45">
        <v>1</v>
      </c>
      <c r="O38" s="32">
        <f t="shared" si="0"/>
        <v>757.67328</v>
      </c>
      <c r="P38" s="48">
        <f t="shared" si="1"/>
        <v>1</v>
      </c>
    </row>
    <row r="39" spans="1:16" ht="12.75">
      <c r="A39" s="11" t="str">
        <f>'A1'!A41</f>
        <v>5.3.1</v>
      </c>
      <c r="B39" s="176" t="str">
        <f>'A1'!C41</f>
        <v>FORN. E IMPLANTAÇÃO PLACA SINALIZ. SEMI-REFLETIVA 25X50CM</v>
      </c>
      <c r="C39" s="177"/>
      <c r="D39" s="178"/>
      <c r="E39" s="35">
        <f>'A1'!$I41*'A2'!F39</f>
        <v>0</v>
      </c>
      <c r="F39" s="45"/>
      <c r="G39" s="35">
        <f>'A1'!$I41*'A2'!H39</f>
        <v>0</v>
      </c>
      <c r="H39" s="45"/>
      <c r="I39" s="35">
        <f>'A1'!$I41*'A2'!J39</f>
        <v>0</v>
      </c>
      <c r="J39" s="45"/>
      <c r="K39" s="35">
        <f>'A1'!$I41*'A2'!L39</f>
        <v>0</v>
      </c>
      <c r="L39" s="45"/>
      <c r="M39" s="35">
        <f>'A1'!$I41*'A2'!N39</f>
        <v>0</v>
      </c>
      <c r="N39" s="45">
        <v>1</v>
      </c>
      <c r="O39" s="32">
        <f t="shared" si="0"/>
        <v>0</v>
      </c>
      <c r="P39" s="48">
        <f t="shared" si="1"/>
        <v>1</v>
      </c>
    </row>
    <row r="40" spans="1:16" ht="12.75">
      <c r="A40" s="11" t="str">
        <f>'A1'!A42</f>
        <v>5.3.2</v>
      </c>
      <c r="B40" s="176" t="str">
        <f>'A1'!C42</f>
        <v>TUBO ACO GALV C/ COSTURA DIN 2440/NBR 5580 CLASSE MEDIA DN 2" (50MM) E=3,65MM - 5,10KG/M COMP= 3M</v>
      </c>
      <c r="C40" s="177"/>
      <c r="D40" s="178"/>
      <c r="E40" s="35">
        <f>'A1'!$I42*'A2'!F40</f>
        <v>0</v>
      </c>
      <c r="F40" s="45"/>
      <c r="G40" s="35">
        <f>'A1'!$I42*'A2'!H40</f>
        <v>0</v>
      </c>
      <c r="H40" s="45"/>
      <c r="I40" s="35">
        <f>'A1'!$I42*'A2'!J40</f>
        <v>0</v>
      </c>
      <c r="J40" s="45"/>
      <c r="K40" s="35">
        <f>'A1'!$I42*'A2'!L40</f>
        <v>0</v>
      </c>
      <c r="L40" s="45"/>
      <c r="M40" s="35">
        <f>'A1'!$I42*'A2'!N40</f>
        <v>0</v>
      </c>
      <c r="N40" s="45">
        <v>1</v>
      </c>
      <c r="O40" s="32">
        <f t="shared" si="0"/>
        <v>0</v>
      </c>
      <c r="P40" s="48">
        <f t="shared" si="1"/>
        <v>1</v>
      </c>
    </row>
    <row r="41" spans="1:16" ht="12.75">
      <c r="A41" s="11" t="str">
        <f>'A1'!A43</f>
        <v>5.4</v>
      </c>
      <c r="B41" s="176" t="str">
        <f>'A1'!C43</f>
        <v>PLACA REGULAMENTAÇÃO </v>
      </c>
      <c r="C41" s="177"/>
      <c r="D41" s="178"/>
      <c r="E41" s="35">
        <f>'A1'!$I43*'A2'!F41</f>
        <v>0</v>
      </c>
      <c r="F41" s="45"/>
      <c r="G41" s="35">
        <f>'A1'!$I43*'A2'!H41</f>
        <v>0</v>
      </c>
      <c r="H41" s="45"/>
      <c r="I41" s="35">
        <f>'A1'!$I43*'A2'!J41</f>
        <v>0</v>
      </c>
      <c r="J41" s="45"/>
      <c r="K41" s="35">
        <f>'A1'!$I43*'A2'!L41</f>
        <v>0</v>
      </c>
      <c r="L41" s="45"/>
      <c r="M41" s="35">
        <f>'A1'!$I43*'A2'!N41</f>
        <v>500.97726</v>
      </c>
      <c r="N41" s="45">
        <v>1</v>
      </c>
      <c r="O41" s="32">
        <f t="shared" si="0"/>
        <v>500.97726</v>
      </c>
      <c r="P41" s="48">
        <f t="shared" si="1"/>
        <v>1</v>
      </c>
    </row>
    <row r="42" spans="1:16" ht="12.75">
      <c r="A42" s="11" t="str">
        <f>'A1'!A44</f>
        <v>5.4.1</v>
      </c>
      <c r="B42" s="176" t="str">
        <f>'A1'!C44</f>
        <v>FORN. E IMPLANTAÇÃO PLACA SINALIZ. SEMI-REFLETIVA DN=60CM</v>
      </c>
      <c r="C42" s="177"/>
      <c r="D42" s="178"/>
      <c r="E42" s="35">
        <f>'A1'!$I44*'A2'!F42</f>
        <v>0</v>
      </c>
      <c r="F42" s="45"/>
      <c r="G42" s="35">
        <f>'A1'!$I44*'A2'!H42</f>
        <v>0</v>
      </c>
      <c r="H42" s="45"/>
      <c r="I42" s="35">
        <f>'A1'!$I44*'A2'!J42</f>
        <v>0</v>
      </c>
      <c r="J42" s="45"/>
      <c r="K42" s="35">
        <f>'A1'!$I44*'A2'!L42</f>
        <v>0</v>
      </c>
      <c r="L42" s="45"/>
      <c r="M42" s="35">
        <f>'A1'!$I44*'A2'!N42</f>
        <v>0</v>
      </c>
      <c r="N42" s="45">
        <v>1</v>
      </c>
      <c r="O42" s="32">
        <f t="shared" si="0"/>
        <v>0</v>
      </c>
      <c r="P42" s="48">
        <f t="shared" si="1"/>
        <v>1</v>
      </c>
    </row>
    <row r="43" spans="1:16" ht="12.75">
      <c r="A43" s="11" t="str">
        <f>'A1'!A45</f>
        <v>5.4.2</v>
      </c>
      <c r="B43" s="176" t="str">
        <f>'A1'!C45</f>
        <v>TUBO ACO GALV C/ COSTURA DIN 2440/NBR 5580 CLASSE MEDIA DN 2" (50MM) E=3,65MM - 5,10KG/M COMP= 3,5M</v>
      </c>
      <c r="C43" s="177"/>
      <c r="D43" s="178"/>
      <c r="E43" s="35">
        <f>'A1'!$I45*'A2'!F43</f>
        <v>0</v>
      </c>
      <c r="F43" s="45"/>
      <c r="G43" s="35">
        <f>'A1'!$I45*'A2'!H43</f>
        <v>0</v>
      </c>
      <c r="H43" s="45"/>
      <c r="I43" s="35">
        <f>'A1'!$I45*'A2'!J43</f>
        <v>0</v>
      </c>
      <c r="J43" s="45"/>
      <c r="K43" s="35">
        <f>'A1'!$I45*'A2'!L43</f>
        <v>0</v>
      </c>
      <c r="L43" s="45"/>
      <c r="M43" s="35">
        <f>'A1'!$I45*'A2'!N43</f>
        <v>0</v>
      </c>
      <c r="N43" s="45">
        <v>1</v>
      </c>
      <c r="O43" s="32">
        <f t="shared" si="0"/>
        <v>0</v>
      </c>
      <c r="P43" s="48">
        <f t="shared" si="1"/>
        <v>1</v>
      </c>
    </row>
    <row r="44" spans="1:16" ht="12.75">
      <c r="A44" s="11"/>
      <c r="B44" s="105"/>
      <c r="C44" s="106"/>
      <c r="D44" s="107"/>
      <c r="E44" s="35"/>
      <c r="F44" s="45"/>
      <c r="G44" s="35"/>
      <c r="H44" s="45"/>
      <c r="I44" s="35"/>
      <c r="J44" s="45"/>
      <c r="K44" s="35"/>
      <c r="L44" s="45"/>
      <c r="M44" s="35"/>
      <c r="N44" s="45"/>
      <c r="O44" s="32"/>
      <c r="P44" s="48"/>
    </row>
    <row r="45" spans="1:16" ht="13.5" customHeight="1">
      <c r="A45" s="11"/>
      <c r="B45" s="41"/>
      <c r="C45" s="42"/>
      <c r="D45" s="43"/>
      <c r="E45" s="35"/>
      <c r="F45" s="45"/>
      <c r="G45" s="35"/>
      <c r="H45" s="45"/>
      <c r="I45" s="35"/>
      <c r="J45" s="45"/>
      <c r="K45" s="35"/>
      <c r="L45" s="45"/>
      <c r="M45" s="35"/>
      <c r="N45" s="45"/>
      <c r="O45" s="32"/>
      <c r="P45" s="48"/>
    </row>
    <row r="46" spans="1:16" s="29" customFormat="1" ht="13.5" customHeight="1">
      <c r="A46" s="195" t="s">
        <v>24</v>
      </c>
      <c r="B46" s="187"/>
      <c r="C46" s="187"/>
      <c r="D46" s="187"/>
      <c r="E46" s="33">
        <f>ROUND(SUM(E10:E45),2)</f>
        <v>10426.78</v>
      </c>
      <c r="F46" s="46">
        <f>E46/O47</f>
        <v>0.10938364002906749</v>
      </c>
      <c r="G46" s="33">
        <f>ROUND(SUM(G10:G45),2)</f>
        <v>23641.58</v>
      </c>
      <c r="H46" s="46">
        <f>G46/O47</f>
        <v>0.24801540614057277</v>
      </c>
      <c r="I46" s="33">
        <f>ROUND(SUM(I10:I45),2)</f>
        <v>14849.9</v>
      </c>
      <c r="J46" s="46">
        <f>I46/O47</f>
        <v>0.15578501858365182</v>
      </c>
      <c r="K46" s="33">
        <f>ROUND(SUM(K10:K45),2)</f>
        <v>27107.13</v>
      </c>
      <c r="L46" s="46">
        <f>K46/O47</f>
        <v>0.28437125844614886</v>
      </c>
      <c r="M46" s="33">
        <f>ROUND(SUM(M10:M45),2)</f>
        <v>19297.63</v>
      </c>
      <c r="N46" s="46">
        <f>M46/O47</f>
        <v>0.20244457189411627</v>
      </c>
      <c r="O46" s="32">
        <f t="shared" si="0"/>
        <v>95323.02</v>
      </c>
      <c r="P46" s="48">
        <f>SUM(F46,H46,J46,L46,N46)</f>
        <v>0.9999998950935571</v>
      </c>
    </row>
    <row r="47" spans="1:16" s="29" customFormat="1" ht="13.5" customHeight="1" thickBot="1">
      <c r="A47" s="196" t="s">
        <v>23</v>
      </c>
      <c r="B47" s="197"/>
      <c r="C47" s="197"/>
      <c r="D47" s="197"/>
      <c r="E47" s="31">
        <f>E46</f>
        <v>10426.78</v>
      </c>
      <c r="F47" s="47">
        <f>F46</f>
        <v>0.10938364002906749</v>
      </c>
      <c r="G47" s="31">
        <f aca="true" t="shared" si="2" ref="G47:N47">E47+G46</f>
        <v>34068.36</v>
      </c>
      <c r="H47" s="47">
        <f>H46+F47</f>
        <v>0.35739904616964024</v>
      </c>
      <c r="I47" s="31">
        <f t="shared" si="2"/>
        <v>48918.26</v>
      </c>
      <c r="J47" s="47">
        <f t="shared" si="2"/>
        <v>0.513184064753292</v>
      </c>
      <c r="K47" s="31">
        <f t="shared" si="2"/>
        <v>76025.39</v>
      </c>
      <c r="L47" s="47">
        <f t="shared" si="2"/>
        <v>0.7975553231994409</v>
      </c>
      <c r="M47" s="31">
        <f t="shared" si="2"/>
        <v>95323.02</v>
      </c>
      <c r="N47" s="47">
        <f t="shared" si="2"/>
        <v>0.9999998950935571</v>
      </c>
      <c r="O47" s="30">
        <f>'A1'!I47</f>
        <v>95323.03</v>
      </c>
      <c r="P47" s="49">
        <f>O46/O47</f>
        <v>0.9999998950935572</v>
      </c>
    </row>
    <row r="48" spans="1:16" ht="57" customHeight="1">
      <c r="A48" s="182" t="s">
        <v>145</v>
      </c>
      <c r="B48" s="183"/>
      <c r="C48" s="183"/>
      <c r="D48" s="184"/>
      <c r="E48" s="182" t="s">
        <v>150</v>
      </c>
      <c r="F48" s="183"/>
      <c r="G48" s="183"/>
      <c r="H48" s="183"/>
      <c r="I48" s="183"/>
      <c r="J48" s="183"/>
      <c r="K48" s="183"/>
      <c r="L48" s="183"/>
      <c r="M48" s="184"/>
      <c r="N48" s="182" t="s">
        <v>22</v>
      </c>
      <c r="O48" s="183"/>
      <c r="P48" s="184"/>
    </row>
    <row r="49" spans="1:16" ht="16.5" customHeight="1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</row>
    <row r="50" spans="1:16" ht="16.5" customHeight="1">
      <c r="A50" s="181" t="s">
        <v>21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</row>
    <row r="51" spans="1:16" ht="6.7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</row>
    <row r="52" spans="1:16" ht="12.75">
      <c r="A52" s="181" t="s">
        <v>20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</row>
  </sheetData>
  <sheetProtection/>
  <mergeCells count="66">
    <mergeCell ref="B41:D41"/>
    <mergeCell ref="B30:D30"/>
    <mergeCell ref="B31:D31"/>
    <mergeCell ref="B32:D32"/>
    <mergeCell ref="B33:D33"/>
    <mergeCell ref="B34:D34"/>
    <mergeCell ref="B39:D39"/>
    <mergeCell ref="B35:D35"/>
    <mergeCell ref="Y1:Y2"/>
    <mergeCell ref="S2:X2"/>
    <mergeCell ref="S3:X3"/>
    <mergeCell ref="A1:N1"/>
    <mergeCell ref="A2:N2"/>
    <mergeCell ref="O3:P4"/>
    <mergeCell ref="A3:N3"/>
    <mergeCell ref="O1:P2"/>
    <mergeCell ref="A5:C5"/>
    <mergeCell ref="A52:P52"/>
    <mergeCell ref="S1:X1"/>
    <mergeCell ref="O7:P8"/>
    <mergeCell ref="I8:J8"/>
    <mergeCell ref="K8:L8"/>
    <mergeCell ref="M8:N8"/>
    <mergeCell ref="A4:N4"/>
    <mergeCell ref="B20:D20"/>
    <mergeCell ref="A7:A9"/>
    <mergeCell ref="A51:P51"/>
    <mergeCell ref="B38:D38"/>
    <mergeCell ref="B43:D43"/>
    <mergeCell ref="B42:D42"/>
    <mergeCell ref="B26:D26"/>
    <mergeCell ref="N48:P48"/>
    <mergeCell ref="A46:D46"/>
    <mergeCell ref="A47:D47"/>
    <mergeCell ref="A48:D48"/>
    <mergeCell ref="B37:D37"/>
    <mergeCell ref="B27:D27"/>
    <mergeCell ref="A49:P49"/>
    <mergeCell ref="B25:D25"/>
    <mergeCell ref="B24:D24"/>
    <mergeCell ref="B19:D19"/>
    <mergeCell ref="B22:D22"/>
    <mergeCell ref="B21:D21"/>
    <mergeCell ref="B28:D28"/>
    <mergeCell ref="B29:D29"/>
    <mergeCell ref="B40:D40"/>
    <mergeCell ref="H6:N6"/>
    <mergeCell ref="E7:N7"/>
    <mergeCell ref="E8:F8"/>
    <mergeCell ref="G8:H8"/>
    <mergeCell ref="A6:G6"/>
    <mergeCell ref="B16:D16"/>
    <mergeCell ref="B7:D9"/>
    <mergeCell ref="B13:D13"/>
    <mergeCell ref="B14:D14"/>
    <mergeCell ref="B15:D15"/>
    <mergeCell ref="B18:D18"/>
    <mergeCell ref="B17:D17"/>
    <mergeCell ref="O6:P6"/>
    <mergeCell ref="A50:P50"/>
    <mergeCell ref="E48:M48"/>
    <mergeCell ref="B10:D10"/>
    <mergeCell ref="B11:D11"/>
    <mergeCell ref="B12:D12"/>
    <mergeCell ref="B23:D23"/>
    <mergeCell ref="B36:D3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Semhac</cp:lastModifiedBy>
  <cp:lastPrinted>2014-03-17T21:44:02Z</cp:lastPrinted>
  <dcterms:created xsi:type="dcterms:W3CDTF">2003-10-24T18:12:58Z</dcterms:created>
  <dcterms:modified xsi:type="dcterms:W3CDTF">2014-03-17T21:47:19Z</dcterms:modified>
  <cp:category/>
  <cp:version/>
  <cp:contentType/>
  <cp:contentStatus/>
</cp:coreProperties>
</file>